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YAZ\NEW SOFTWER\"/>
    </mc:Choice>
  </mc:AlternateContent>
  <xr:revisionPtr revIDLastSave="0" documentId="13_ncr:1_{10238907-37F0-4F41-9626-C6ECEBDFC6D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MASTER DATA SLT" sheetId="2" r:id="rId1"/>
    <sheet name="SALARY DETALES" sheetId="1" r:id="rId2"/>
    <sheet name="SOFTWERE FORMAT" sheetId="3" r:id="rId3"/>
  </sheets>
  <definedNames>
    <definedName name="_xlnm._FilterDatabase" localSheetId="0" hidden="1">'MASTER DATA SLT'!$A$2:$T$584</definedName>
    <definedName name="_xlnm._FilterDatabase" localSheetId="1" hidden="1">'SALARY DETALES'!$A$1:$BB$1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2" i="3"/>
  <c r="I3" i="3"/>
  <c r="J3" i="3"/>
  <c r="K3" i="3"/>
  <c r="N3" i="3"/>
  <c r="O3" i="3"/>
  <c r="Q3" i="3"/>
  <c r="R3" i="3"/>
  <c r="U3" i="3"/>
  <c r="I4" i="3"/>
  <c r="J4" i="3"/>
  <c r="K4" i="3"/>
  <c r="N4" i="3"/>
  <c r="O4" i="3"/>
  <c r="Q4" i="3"/>
  <c r="R4" i="3"/>
  <c r="U4" i="3"/>
  <c r="I5" i="3"/>
  <c r="J5" i="3"/>
  <c r="K5" i="3"/>
  <c r="N5" i="3"/>
  <c r="O5" i="3"/>
  <c r="Q5" i="3"/>
  <c r="R5" i="3"/>
  <c r="U5" i="3"/>
  <c r="I6" i="3"/>
  <c r="J6" i="3"/>
  <c r="K6" i="3"/>
  <c r="N6" i="3"/>
  <c r="O6" i="3"/>
  <c r="Q6" i="3"/>
  <c r="R6" i="3"/>
  <c r="U6" i="3"/>
  <c r="I7" i="3"/>
  <c r="J7" i="3"/>
  <c r="K7" i="3"/>
  <c r="N7" i="3"/>
  <c r="O7" i="3"/>
  <c r="Q7" i="3"/>
  <c r="R7" i="3"/>
  <c r="U7" i="3"/>
  <c r="I8" i="3"/>
  <c r="J8" i="3"/>
  <c r="K8" i="3"/>
  <c r="N8" i="3"/>
  <c r="O8" i="3"/>
  <c r="Q8" i="3"/>
  <c r="R8" i="3"/>
  <c r="U8" i="3"/>
  <c r="I9" i="3"/>
  <c r="J9" i="3"/>
  <c r="K9" i="3"/>
  <c r="N9" i="3"/>
  <c r="O9" i="3"/>
  <c r="Q9" i="3"/>
  <c r="R9" i="3"/>
  <c r="U9" i="3"/>
  <c r="I10" i="3"/>
  <c r="J10" i="3"/>
  <c r="K10" i="3"/>
  <c r="N10" i="3"/>
  <c r="O10" i="3"/>
  <c r="Q10" i="3"/>
  <c r="R10" i="3"/>
  <c r="U10" i="3"/>
  <c r="I11" i="3"/>
  <c r="J11" i="3"/>
  <c r="K11" i="3"/>
  <c r="N11" i="3"/>
  <c r="O11" i="3"/>
  <c r="Q11" i="3"/>
  <c r="R11" i="3"/>
  <c r="U11" i="3"/>
  <c r="I12" i="3"/>
  <c r="J12" i="3"/>
  <c r="K12" i="3"/>
  <c r="N12" i="3"/>
  <c r="O12" i="3"/>
  <c r="Q12" i="3"/>
  <c r="R12" i="3"/>
  <c r="U12" i="3"/>
  <c r="I13" i="3"/>
  <c r="J13" i="3"/>
  <c r="K13" i="3"/>
  <c r="N13" i="3"/>
  <c r="O13" i="3"/>
  <c r="Q13" i="3"/>
  <c r="R13" i="3"/>
  <c r="U13" i="3"/>
  <c r="I14" i="3"/>
  <c r="J14" i="3"/>
  <c r="K14" i="3"/>
  <c r="N14" i="3"/>
  <c r="O14" i="3"/>
  <c r="Q14" i="3"/>
  <c r="R14" i="3"/>
  <c r="U14" i="3"/>
  <c r="I15" i="3"/>
  <c r="J15" i="3"/>
  <c r="K15" i="3"/>
  <c r="N15" i="3"/>
  <c r="O15" i="3"/>
  <c r="Q15" i="3"/>
  <c r="R15" i="3"/>
  <c r="U15" i="3"/>
  <c r="I16" i="3"/>
  <c r="J16" i="3"/>
  <c r="K16" i="3"/>
  <c r="N16" i="3"/>
  <c r="O16" i="3"/>
  <c r="Q16" i="3"/>
  <c r="R16" i="3"/>
  <c r="U16" i="3"/>
  <c r="I17" i="3"/>
  <c r="J17" i="3"/>
  <c r="K17" i="3"/>
  <c r="N17" i="3"/>
  <c r="O17" i="3"/>
  <c r="Q17" i="3"/>
  <c r="R17" i="3"/>
  <c r="U17" i="3"/>
  <c r="I18" i="3"/>
  <c r="J18" i="3"/>
  <c r="K18" i="3"/>
  <c r="N18" i="3"/>
  <c r="O18" i="3"/>
  <c r="Q18" i="3"/>
  <c r="R18" i="3"/>
  <c r="U18" i="3"/>
  <c r="I19" i="3"/>
  <c r="J19" i="3"/>
  <c r="K19" i="3"/>
  <c r="N19" i="3"/>
  <c r="O19" i="3"/>
  <c r="Q19" i="3"/>
  <c r="R19" i="3"/>
  <c r="U19" i="3"/>
  <c r="I20" i="3"/>
  <c r="J20" i="3"/>
  <c r="K20" i="3"/>
  <c r="N20" i="3"/>
  <c r="O20" i="3"/>
  <c r="Q20" i="3"/>
  <c r="R20" i="3"/>
  <c r="U20" i="3"/>
  <c r="I21" i="3"/>
  <c r="J21" i="3"/>
  <c r="K21" i="3"/>
  <c r="N21" i="3"/>
  <c r="O21" i="3"/>
  <c r="Q21" i="3"/>
  <c r="R21" i="3"/>
  <c r="U21" i="3"/>
  <c r="I22" i="3"/>
  <c r="J22" i="3"/>
  <c r="K22" i="3"/>
  <c r="N22" i="3"/>
  <c r="O22" i="3"/>
  <c r="Q22" i="3"/>
  <c r="R22" i="3"/>
  <c r="U22" i="3"/>
  <c r="I23" i="3"/>
  <c r="J23" i="3"/>
  <c r="K23" i="3"/>
  <c r="N23" i="3"/>
  <c r="O23" i="3"/>
  <c r="Q23" i="3"/>
  <c r="R23" i="3"/>
  <c r="U23" i="3"/>
  <c r="I24" i="3"/>
  <c r="J24" i="3"/>
  <c r="K24" i="3"/>
  <c r="N24" i="3"/>
  <c r="O24" i="3"/>
  <c r="Q24" i="3"/>
  <c r="R24" i="3"/>
  <c r="U24" i="3"/>
  <c r="I25" i="3"/>
  <c r="J25" i="3"/>
  <c r="K25" i="3"/>
  <c r="N25" i="3"/>
  <c r="O25" i="3"/>
  <c r="Q25" i="3"/>
  <c r="R25" i="3"/>
  <c r="U25" i="3"/>
  <c r="I26" i="3"/>
  <c r="J26" i="3"/>
  <c r="K26" i="3"/>
  <c r="N26" i="3"/>
  <c r="O26" i="3"/>
  <c r="Q26" i="3"/>
  <c r="R26" i="3"/>
  <c r="U26" i="3"/>
  <c r="I27" i="3"/>
  <c r="J27" i="3"/>
  <c r="K27" i="3"/>
  <c r="N27" i="3"/>
  <c r="O27" i="3"/>
  <c r="Q27" i="3"/>
  <c r="R27" i="3"/>
  <c r="U27" i="3"/>
  <c r="I28" i="3"/>
  <c r="J28" i="3"/>
  <c r="K28" i="3"/>
  <c r="N28" i="3"/>
  <c r="O28" i="3"/>
  <c r="Q28" i="3"/>
  <c r="R28" i="3"/>
  <c r="U28" i="3"/>
  <c r="I29" i="3"/>
  <c r="J29" i="3"/>
  <c r="K29" i="3"/>
  <c r="N29" i="3"/>
  <c r="O29" i="3"/>
  <c r="Q29" i="3"/>
  <c r="R29" i="3"/>
  <c r="U29" i="3"/>
  <c r="I30" i="3"/>
  <c r="J30" i="3"/>
  <c r="K30" i="3"/>
  <c r="N30" i="3"/>
  <c r="O30" i="3"/>
  <c r="Q30" i="3"/>
  <c r="R30" i="3"/>
  <c r="U30" i="3"/>
  <c r="I31" i="3"/>
  <c r="J31" i="3"/>
  <c r="K31" i="3"/>
  <c r="N31" i="3"/>
  <c r="O31" i="3"/>
  <c r="Q31" i="3"/>
  <c r="R31" i="3"/>
  <c r="U31" i="3"/>
  <c r="I32" i="3"/>
  <c r="J32" i="3"/>
  <c r="K32" i="3"/>
  <c r="N32" i="3"/>
  <c r="O32" i="3"/>
  <c r="Q32" i="3"/>
  <c r="R32" i="3"/>
  <c r="U32" i="3"/>
  <c r="I33" i="3"/>
  <c r="J33" i="3"/>
  <c r="K33" i="3"/>
  <c r="N33" i="3"/>
  <c r="O33" i="3"/>
  <c r="Q33" i="3"/>
  <c r="R33" i="3"/>
  <c r="U33" i="3"/>
  <c r="I34" i="3"/>
  <c r="J34" i="3"/>
  <c r="K34" i="3"/>
  <c r="N34" i="3"/>
  <c r="O34" i="3"/>
  <c r="Q34" i="3"/>
  <c r="R34" i="3"/>
  <c r="U34" i="3"/>
  <c r="I35" i="3"/>
  <c r="J35" i="3"/>
  <c r="K35" i="3"/>
  <c r="N35" i="3"/>
  <c r="O35" i="3"/>
  <c r="Q35" i="3"/>
  <c r="R35" i="3"/>
  <c r="U35" i="3"/>
  <c r="I36" i="3"/>
  <c r="J36" i="3"/>
  <c r="K36" i="3"/>
  <c r="N36" i="3"/>
  <c r="O36" i="3"/>
  <c r="Q36" i="3"/>
  <c r="R36" i="3"/>
  <c r="U36" i="3"/>
  <c r="I37" i="3"/>
  <c r="J37" i="3"/>
  <c r="K37" i="3"/>
  <c r="N37" i="3"/>
  <c r="O37" i="3"/>
  <c r="Q37" i="3"/>
  <c r="R37" i="3"/>
  <c r="U37" i="3"/>
  <c r="I38" i="3"/>
  <c r="J38" i="3"/>
  <c r="K38" i="3"/>
  <c r="N38" i="3"/>
  <c r="O38" i="3"/>
  <c r="Q38" i="3"/>
  <c r="R38" i="3"/>
  <c r="U38" i="3"/>
  <c r="I39" i="3"/>
  <c r="J39" i="3"/>
  <c r="K39" i="3"/>
  <c r="N39" i="3"/>
  <c r="O39" i="3"/>
  <c r="Q39" i="3"/>
  <c r="R39" i="3"/>
  <c r="U39" i="3"/>
  <c r="I40" i="3"/>
  <c r="J40" i="3"/>
  <c r="K40" i="3"/>
  <c r="N40" i="3"/>
  <c r="O40" i="3"/>
  <c r="Q40" i="3"/>
  <c r="R40" i="3"/>
  <c r="U40" i="3"/>
  <c r="I41" i="3"/>
  <c r="J41" i="3"/>
  <c r="K41" i="3"/>
  <c r="N41" i="3"/>
  <c r="O41" i="3"/>
  <c r="Q41" i="3"/>
  <c r="R41" i="3"/>
  <c r="U41" i="3"/>
  <c r="I42" i="3"/>
  <c r="J42" i="3"/>
  <c r="K42" i="3"/>
  <c r="N42" i="3"/>
  <c r="O42" i="3"/>
  <c r="Q42" i="3"/>
  <c r="R42" i="3"/>
  <c r="U42" i="3"/>
  <c r="I43" i="3"/>
  <c r="J43" i="3"/>
  <c r="K43" i="3"/>
  <c r="N43" i="3"/>
  <c r="O43" i="3"/>
  <c r="Q43" i="3"/>
  <c r="R43" i="3"/>
  <c r="U43" i="3"/>
  <c r="I44" i="3"/>
  <c r="J44" i="3"/>
  <c r="K44" i="3"/>
  <c r="N44" i="3"/>
  <c r="O44" i="3"/>
  <c r="Q44" i="3"/>
  <c r="R44" i="3"/>
  <c r="U44" i="3"/>
  <c r="I45" i="3"/>
  <c r="J45" i="3"/>
  <c r="K45" i="3"/>
  <c r="N45" i="3"/>
  <c r="O45" i="3"/>
  <c r="Q45" i="3"/>
  <c r="R45" i="3"/>
  <c r="U45" i="3"/>
  <c r="I46" i="3"/>
  <c r="J46" i="3"/>
  <c r="K46" i="3"/>
  <c r="N46" i="3"/>
  <c r="O46" i="3"/>
  <c r="Q46" i="3"/>
  <c r="R46" i="3"/>
  <c r="U46" i="3"/>
  <c r="I47" i="3"/>
  <c r="J47" i="3"/>
  <c r="K47" i="3"/>
  <c r="N47" i="3"/>
  <c r="O47" i="3"/>
  <c r="Q47" i="3"/>
  <c r="R47" i="3"/>
  <c r="U47" i="3"/>
  <c r="I48" i="3"/>
  <c r="J48" i="3"/>
  <c r="K48" i="3"/>
  <c r="N48" i="3"/>
  <c r="O48" i="3"/>
  <c r="Q48" i="3"/>
  <c r="R48" i="3"/>
  <c r="U48" i="3"/>
  <c r="I49" i="3"/>
  <c r="J49" i="3"/>
  <c r="K49" i="3"/>
  <c r="N49" i="3"/>
  <c r="O49" i="3"/>
  <c r="Q49" i="3"/>
  <c r="R49" i="3"/>
  <c r="U49" i="3"/>
  <c r="I50" i="3"/>
  <c r="J50" i="3"/>
  <c r="K50" i="3"/>
  <c r="N50" i="3"/>
  <c r="O50" i="3"/>
  <c r="Q50" i="3"/>
  <c r="R50" i="3"/>
  <c r="U50" i="3"/>
  <c r="I51" i="3"/>
  <c r="J51" i="3"/>
  <c r="K51" i="3"/>
  <c r="N51" i="3"/>
  <c r="O51" i="3"/>
  <c r="Q51" i="3"/>
  <c r="R51" i="3"/>
  <c r="U51" i="3"/>
  <c r="I52" i="3"/>
  <c r="J52" i="3"/>
  <c r="K52" i="3"/>
  <c r="N52" i="3"/>
  <c r="O52" i="3"/>
  <c r="Q52" i="3"/>
  <c r="R52" i="3"/>
  <c r="U52" i="3"/>
  <c r="I53" i="3"/>
  <c r="J53" i="3"/>
  <c r="K53" i="3"/>
  <c r="N53" i="3"/>
  <c r="O53" i="3"/>
  <c r="Q53" i="3"/>
  <c r="R53" i="3"/>
  <c r="U53" i="3"/>
  <c r="I54" i="3"/>
  <c r="J54" i="3"/>
  <c r="K54" i="3"/>
  <c r="N54" i="3"/>
  <c r="O54" i="3"/>
  <c r="Q54" i="3"/>
  <c r="R54" i="3"/>
  <c r="U54" i="3"/>
  <c r="I55" i="3"/>
  <c r="J55" i="3"/>
  <c r="K55" i="3"/>
  <c r="N55" i="3"/>
  <c r="O55" i="3"/>
  <c r="Q55" i="3"/>
  <c r="R55" i="3"/>
  <c r="U55" i="3"/>
  <c r="I56" i="3"/>
  <c r="J56" i="3"/>
  <c r="K56" i="3"/>
  <c r="N56" i="3"/>
  <c r="O56" i="3"/>
  <c r="Q56" i="3"/>
  <c r="R56" i="3"/>
  <c r="U56" i="3"/>
  <c r="I57" i="3"/>
  <c r="J57" i="3"/>
  <c r="K57" i="3"/>
  <c r="N57" i="3"/>
  <c r="O57" i="3"/>
  <c r="Q57" i="3"/>
  <c r="R57" i="3"/>
  <c r="U57" i="3"/>
  <c r="I58" i="3"/>
  <c r="J58" i="3"/>
  <c r="K58" i="3"/>
  <c r="N58" i="3"/>
  <c r="O58" i="3"/>
  <c r="Q58" i="3"/>
  <c r="R58" i="3"/>
  <c r="U58" i="3"/>
  <c r="I59" i="3"/>
  <c r="J59" i="3"/>
  <c r="K59" i="3"/>
  <c r="N59" i="3"/>
  <c r="O59" i="3"/>
  <c r="Q59" i="3"/>
  <c r="R59" i="3"/>
  <c r="U59" i="3"/>
  <c r="I60" i="3"/>
  <c r="J60" i="3"/>
  <c r="K60" i="3"/>
  <c r="N60" i="3"/>
  <c r="O60" i="3"/>
  <c r="Q60" i="3"/>
  <c r="R60" i="3"/>
  <c r="U60" i="3"/>
  <c r="I61" i="3"/>
  <c r="J61" i="3"/>
  <c r="K61" i="3"/>
  <c r="N61" i="3"/>
  <c r="O61" i="3"/>
  <c r="Q61" i="3"/>
  <c r="R61" i="3"/>
  <c r="U61" i="3"/>
  <c r="I62" i="3"/>
  <c r="J62" i="3"/>
  <c r="K62" i="3"/>
  <c r="N62" i="3"/>
  <c r="O62" i="3"/>
  <c r="Q62" i="3"/>
  <c r="R62" i="3"/>
  <c r="U62" i="3"/>
  <c r="I63" i="3"/>
  <c r="J63" i="3"/>
  <c r="K63" i="3"/>
  <c r="N63" i="3"/>
  <c r="O63" i="3"/>
  <c r="Q63" i="3"/>
  <c r="R63" i="3"/>
  <c r="U63" i="3"/>
  <c r="I64" i="3"/>
  <c r="J64" i="3"/>
  <c r="K64" i="3"/>
  <c r="N64" i="3"/>
  <c r="O64" i="3"/>
  <c r="Q64" i="3"/>
  <c r="R64" i="3"/>
  <c r="U64" i="3"/>
  <c r="I65" i="3"/>
  <c r="J65" i="3"/>
  <c r="K65" i="3"/>
  <c r="N65" i="3"/>
  <c r="O65" i="3"/>
  <c r="Q65" i="3"/>
  <c r="R65" i="3"/>
  <c r="U65" i="3"/>
  <c r="I66" i="3"/>
  <c r="J66" i="3"/>
  <c r="K66" i="3"/>
  <c r="N66" i="3"/>
  <c r="O66" i="3"/>
  <c r="Q66" i="3"/>
  <c r="R66" i="3"/>
  <c r="U66" i="3"/>
  <c r="I67" i="3"/>
  <c r="J67" i="3"/>
  <c r="K67" i="3"/>
  <c r="N67" i="3"/>
  <c r="O67" i="3"/>
  <c r="Q67" i="3"/>
  <c r="R67" i="3"/>
  <c r="U67" i="3"/>
  <c r="I68" i="3"/>
  <c r="J68" i="3"/>
  <c r="K68" i="3"/>
  <c r="N68" i="3"/>
  <c r="O68" i="3"/>
  <c r="Q68" i="3"/>
  <c r="R68" i="3"/>
  <c r="U68" i="3"/>
  <c r="I69" i="3"/>
  <c r="J69" i="3"/>
  <c r="K69" i="3"/>
  <c r="N69" i="3"/>
  <c r="O69" i="3"/>
  <c r="Q69" i="3"/>
  <c r="R69" i="3"/>
  <c r="U69" i="3"/>
  <c r="I70" i="3"/>
  <c r="J70" i="3"/>
  <c r="K70" i="3"/>
  <c r="N70" i="3"/>
  <c r="O70" i="3"/>
  <c r="Q70" i="3"/>
  <c r="R70" i="3"/>
  <c r="U70" i="3"/>
  <c r="I71" i="3"/>
  <c r="J71" i="3"/>
  <c r="K71" i="3"/>
  <c r="N71" i="3"/>
  <c r="O71" i="3"/>
  <c r="Q71" i="3"/>
  <c r="R71" i="3"/>
  <c r="U71" i="3"/>
  <c r="I72" i="3"/>
  <c r="J72" i="3"/>
  <c r="K72" i="3"/>
  <c r="N72" i="3"/>
  <c r="O72" i="3"/>
  <c r="Q72" i="3"/>
  <c r="R72" i="3"/>
  <c r="U72" i="3"/>
  <c r="I73" i="3"/>
  <c r="J73" i="3"/>
  <c r="K73" i="3"/>
  <c r="N73" i="3"/>
  <c r="O73" i="3"/>
  <c r="Q73" i="3"/>
  <c r="R73" i="3"/>
  <c r="U73" i="3"/>
  <c r="I74" i="3"/>
  <c r="J74" i="3"/>
  <c r="K74" i="3"/>
  <c r="N74" i="3"/>
  <c r="O74" i="3"/>
  <c r="Q74" i="3"/>
  <c r="R74" i="3"/>
  <c r="U74" i="3"/>
  <c r="I75" i="3"/>
  <c r="J75" i="3"/>
  <c r="K75" i="3"/>
  <c r="N75" i="3"/>
  <c r="O75" i="3"/>
  <c r="Q75" i="3"/>
  <c r="R75" i="3"/>
  <c r="U75" i="3"/>
  <c r="I76" i="3"/>
  <c r="J76" i="3"/>
  <c r="K76" i="3"/>
  <c r="N76" i="3"/>
  <c r="O76" i="3"/>
  <c r="Q76" i="3"/>
  <c r="R76" i="3"/>
  <c r="U76" i="3"/>
  <c r="I77" i="3"/>
  <c r="J77" i="3"/>
  <c r="K77" i="3"/>
  <c r="N77" i="3"/>
  <c r="O77" i="3"/>
  <c r="Q77" i="3"/>
  <c r="R77" i="3"/>
  <c r="U77" i="3"/>
  <c r="I78" i="3"/>
  <c r="J78" i="3"/>
  <c r="K78" i="3"/>
  <c r="N78" i="3"/>
  <c r="O78" i="3"/>
  <c r="Q78" i="3"/>
  <c r="R78" i="3"/>
  <c r="U78" i="3"/>
  <c r="I79" i="3"/>
  <c r="J79" i="3"/>
  <c r="K79" i="3"/>
  <c r="N79" i="3"/>
  <c r="O79" i="3"/>
  <c r="Q79" i="3"/>
  <c r="R79" i="3"/>
  <c r="U79" i="3"/>
  <c r="I80" i="3"/>
  <c r="J80" i="3"/>
  <c r="K80" i="3"/>
  <c r="N80" i="3"/>
  <c r="O80" i="3"/>
  <c r="Q80" i="3"/>
  <c r="R80" i="3"/>
  <c r="U80" i="3"/>
  <c r="I81" i="3"/>
  <c r="J81" i="3"/>
  <c r="K81" i="3"/>
  <c r="N81" i="3"/>
  <c r="O81" i="3"/>
  <c r="Q81" i="3"/>
  <c r="R81" i="3"/>
  <c r="U81" i="3"/>
  <c r="I82" i="3"/>
  <c r="J82" i="3"/>
  <c r="K82" i="3"/>
  <c r="N82" i="3"/>
  <c r="O82" i="3"/>
  <c r="Q82" i="3"/>
  <c r="R82" i="3"/>
  <c r="U82" i="3"/>
  <c r="I83" i="3"/>
  <c r="J83" i="3"/>
  <c r="K83" i="3"/>
  <c r="N83" i="3"/>
  <c r="O83" i="3"/>
  <c r="Q83" i="3"/>
  <c r="R83" i="3"/>
  <c r="U83" i="3"/>
  <c r="I84" i="3"/>
  <c r="J84" i="3"/>
  <c r="K84" i="3"/>
  <c r="N84" i="3"/>
  <c r="O84" i="3"/>
  <c r="Q84" i="3"/>
  <c r="R84" i="3"/>
  <c r="U84" i="3"/>
  <c r="I85" i="3"/>
  <c r="J85" i="3"/>
  <c r="K85" i="3"/>
  <c r="N85" i="3"/>
  <c r="O85" i="3"/>
  <c r="Q85" i="3"/>
  <c r="R85" i="3"/>
  <c r="U85" i="3"/>
  <c r="I86" i="3"/>
  <c r="J86" i="3"/>
  <c r="K86" i="3"/>
  <c r="N86" i="3"/>
  <c r="O86" i="3"/>
  <c r="Q86" i="3"/>
  <c r="R86" i="3"/>
  <c r="U86" i="3"/>
  <c r="I87" i="3"/>
  <c r="J87" i="3"/>
  <c r="K87" i="3"/>
  <c r="N87" i="3"/>
  <c r="O87" i="3"/>
  <c r="Q87" i="3"/>
  <c r="R87" i="3"/>
  <c r="U87" i="3"/>
  <c r="I88" i="3"/>
  <c r="J88" i="3"/>
  <c r="K88" i="3"/>
  <c r="N88" i="3"/>
  <c r="O88" i="3"/>
  <c r="Q88" i="3"/>
  <c r="R88" i="3"/>
  <c r="U88" i="3"/>
  <c r="I89" i="3"/>
  <c r="J89" i="3"/>
  <c r="K89" i="3"/>
  <c r="N89" i="3"/>
  <c r="O89" i="3"/>
  <c r="Q89" i="3"/>
  <c r="R89" i="3"/>
  <c r="U89" i="3"/>
  <c r="I90" i="3"/>
  <c r="J90" i="3"/>
  <c r="K90" i="3"/>
  <c r="N90" i="3"/>
  <c r="O90" i="3"/>
  <c r="Q90" i="3"/>
  <c r="R90" i="3"/>
  <c r="U90" i="3"/>
  <c r="I91" i="3"/>
  <c r="J91" i="3"/>
  <c r="K91" i="3"/>
  <c r="N91" i="3"/>
  <c r="O91" i="3"/>
  <c r="Q91" i="3"/>
  <c r="R91" i="3"/>
  <c r="U91" i="3"/>
  <c r="I92" i="3"/>
  <c r="J92" i="3"/>
  <c r="K92" i="3"/>
  <c r="N92" i="3"/>
  <c r="O92" i="3"/>
  <c r="Q92" i="3"/>
  <c r="R92" i="3"/>
  <c r="U92" i="3"/>
  <c r="I93" i="3"/>
  <c r="J93" i="3"/>
  <c r="K93" i="3"/>
  <c r="N93" i="3"/>
  <c r="O93" i="3"/>
  <c r="Q93" i="3"/>
  <c r="R93" i="3"/>
  <c r="U93" i="3"/>
  <c r="I94" i="3"/>
  <c r="J94" i="3"/>
  <c r="K94" i="3"/>
  <c r="N94" i="3"/>
  <c r="O94" i="3"/>
  <c r="Q94" i="3"/>
  <c r="R94" i="3"/>
  <c r="U94" i="3"/>
  <c r="I95" i="3"/>
  <c r="J95" i="3"/>
  <c r="K95" i="3"/>
  <c r="N95" i="3"/>
  <c r="O95" i="3"/>
  <c r="Q95" i="3"/>
  <c r="R95" i="3"/>
  <c r="U95" i="3"/>
  <c r="I96" i="3"/>
  <c r="J96" i="3"/>
  <c r="K96" i="3"/>
  <c r="N96" i="3"/>
  <c r="O96" i="3"/>
  <c r="Q96" i="3"/>
  <c r="R96" i="3"/>
  <c r="U96" i="3"/>
  <c r="I97" i="3"/>
  <c r="J97" i="3"/>
  <c r="K97" i="3"/>
  <c r="N97" i="3"/>
  <c r="O97" i="3"/>
  <c r="Q97" i="3"/>
  <c r="R97" i="3"/>
  <c r="U97" i="3"/>
  <c r="I98" i="3"/>
  <c r="J98" i="3"/>
  <c r="K98" i="3"/>
  <c r="N98" i="3"/>
  <c r="O98" i="3"/>
  <c r="Q98" i="3"/>
  <c r="R98" i="3"/>
  <c r="U98" i="3"/>
  <c r="I99" i="3"/>
  <c r="J99" i="3"/>
  <c r="K99" i="3"/>
  <c r="N99" i="3"/>
  <c r="O99" i="3"/>
  <c r="Q99" i="3"/>
  <c r="R99" i="3"/>
  <c r="U99" i="3"/>
  <c r="I100" i="3"/>
  <c r="J100" i="3"/>
  <c r="K100" i="3"/>
  <c r="N100" i="3"/>
  <c r="O100" i="3"/>
  <c r="Q100" i="3"/>
  <c r="R100" i="3"/>
  <c r="U100" i="3"/>
  <c r="I101" i="3"/>
  <c r="J101" i="3"/>
  <c r="K101" i="3"/>
  <c r="N101" i="3"/>
  <c r="O101" i="3"/>
  <c r="Q101" i="3"/>
  <c r="R101" i="3"/>
  <c r="U101" i="3"/>
  <c r="I102" i="3"/>
  <c r="J102" i="3"/>
  <c r="K102" i="3"/>
  <c r="N102" i="3"/>
  <c r="O102" i="3"/>
  <c r="Q102" i="3"/>
  <c r="R102" i="3"/>
  <c r="U102" i="3"/>
  <c r="I103" i="3"/>
  <c r="J103" i="3"/>
  <c r="K103" i="3"/>
  <c r="N103" i="3"/>
  <c r="O103" i="3"/>
  <c r="Q103" i="3"/>
  <c r="R103" i="3"/>
  <c r="U103" i="3"/>
  <c r="I104" i="3"/>
  <c r="J104" i="3"/>
  <c r="K104" i="3"/>
  <c r="N104" i="3"/>
  <c r="O104" i="3"/>
  <c r="Q104" i="3"/>
  <c r="R104" i="3"/>
  <c r="U104" i="3"/>
  <c r="I105" i="3"/>
  <c r="J105" i="3"/>
  <c r="K105" i="3"/>
  <c r="N105" i="3"/>
  <c r="O105" i="3"/>
  <c r="Q105" i="3"/>
  <c r="R105" i="3"/>
  <c r="U105" i="3"/>
  <c r="I106" i="3"/>
  <c r="J106" i="3"/>
  <c r="K106" i="3"/>
  <c r="N106" i="3"/>
  <c r="O106" i="3"/>
  <c r="Q106" i="3"/>
  <c r="R106" i="3"/>
  <c r="U106" i="3"/>
  <c r="I107" i="3"/>
  <c r="J107" i="3"/>
  <c r="K107" i="3"/>
  <c r="N107" i="3"/>
  <c r="O107" i="3"/>
  <c r="Q107" i="3"/>
  <c r="R107" i="3"/>
  <c r="U107" i="3"/>
  <c r="I108" i="3"/>
  <c r="J108" i="3"/>
  <c r="K108" i="3"/>
  <c r="N108" i="3"/>
  <c r="O108" i="3"/>
  <c r="Q108" i="3"/>
  <c r="R108" i="3"/>
  <c r="U108" i="3"/>
  <c r="I109" i="3"/>
  <c r="J109" i="3"/>
  <c r="K109" i="3"/>
  <c r="N109" i="3"/>
  <c r="O109" i="3"/>
  <c r="Q109" i="3"/>
  <c r="R109" i="3"/>
  <c r="U109" i="3"/>
  <c r="I110" i="3"/>
  <c r="J110" i="3"/>
  <c r="K110" i="3"/>
  <c r="N110" i="3"/>
  <c r="O110" i="3"/>
  <c r="Q110" i="3"/>
  <c r="R110" i="3"/>
  <c r="U110" i="3"/>
  <c r="I111" i="3"/>
  <c r="J111" i="3"/>
  <c r="K111" i="3"/>
  <c r="N111" i="3"/>
  <c r="O111" i="3"/>
  <c r="Q111" i="3"/>
  <c r="R111" i="3"/>
  <c r="U111" i="3"/>
  <c r="I112" i="3"/>
  <c r="J112" i="3"/>
  <c r="K112" i="3"/>
  <c r="N112" i="3"/>
  <c r="O112" i="3"/>
  <c r="Q112" i="3"/>
  <c r="R112" i="3"/>
  <c r="U112" i="3"/>
  <c r="I113" i="3"/>
  <c r="J113" i="3"/>
  <c r="K113" i="3"/>
  <c r="N113" i="3"/>
  <c r="O113" i="3"/>
  <c r="Q113" i="3"/>
  <c r="R113" i="3"/>
  <c r="U113" i="3"/>
  <c r="I114" i="3"/>
  <c r="J114" i="3"/>
  <c r="K114" i="3"/>
  <c r="N114" i="3"/>
  <c r="O114" i="3"/>
  <c r="Q114" i="3"/>
  <c r="R114" i="3"/>
  <c r="U114" i="3"/>
  <c r="I115" i="3"/>
  <c r="J115" i="3"/>
  <c r="K115" i="3"/>
  <c r="N115" i="3"/>
  <c r="O115" i="3"/>
  <c r="Q115" i="3"/>
  <c r="R115" i="3"/>
  <c r="U115" i="3"/>
  <c r="I116" i="3"/>
  <c r="J116" i="3"/>
  <c r="K116" i="3"/>
  <c r="N116" i="3"/>
  <c r="O116" i="3"/>
  <c r="Q116" i="3"/>
  <c r="R116" i="3"/>
  <c r="U116" i="3"/>
  <c r="I117" i="3"/>
  <c r="J117" i="3"/>
  <c r="K117" i="3"/>
  <c r="N117" i="3"/>
  <c r="O117" i="3"/>
  <c r="Q117" i="3"/>
  <c r="R117" i="3"/>
  <c r="U117" i="3"/>
  <c r="I118" i="3"/>
  <c r="J118" i="3"/>
  <c r="K118" i="3"/>
  <c r="N118" i="3"/>
  <c r="O118" i="3"/>
  <c r="Q118" i="3"/>
  <c r="R118" i="3"/>
  <c r="U118" i="3"/>
  <c r="I119" i="3"/>
  <c r="J119" i="3"/>
  <c r="K119" i="3"/>
  <c r="N119" i="3"/>
  <c r="O119" i="3"/>
  <c r="Q119" i="3"/>
  <c r="R119" i="3"/>
  <c r="U119" i="3"/>
  <c r="I120" i="3"/>
  <c r="J120" i="3"/>
  <c r="K120" i="3"/>
  <c r="N120" i="3"/>
  <c r="O120" i="3"/>
  <c r="Q120" i="3"/>
  <c r="R120" i="3"/>
  <c r="U120" i="3"/>
  <c r="I121" i="3"/>
  <c r="J121" i="3"/>
  <c r="K121" i="3"/>
  <c r="N121" i="3"/>
  <c r="O121" i="3"/>
  <c r="Q121" i="3"/>
  <c r="R121" i="3"/>
  <c r="U121" i="3"/>
  <c r="I122" i="3"/>
  <c r="J122" i="3"/>
  <c r="K122" i="3"/>
  <c r="N122" i="3"/>
  <c r="O122" i="3"/>
  <c r="Q122" i="3"/>
  <c r="R122" i="3"/>
  <c r="U122" i="3"/>
  <c r="I123" i="3"/>
  <c r="J123" i="3"/>
  <c r="K123" i="3"/>
  <c r="N123" i="3"/>
  <c r="O123" i="3"/>
  <c r="Q123" i="3"/>
  <c r="R123" i="3"/>
  <c r="U123" i="3"/>
  <c r="I124" i="3"/>
  <c r="J124" i="3"/>
  <c r="K124" i="3"/>
  <c r="N124" i="3"/>
  <c r="O124" i="3"/>
  <c r="Q124" i="3"/>
  <c r="R124" i="3"/>
  <c r="U124" i="3"/>
  <c r="I125" i="3"/>
  <c r="J125" i="3"/>
  <c r="K125" i="3"/>
  <c r="N125" i="3"/>
  <c r="O125" i="3"/>
  <c r="Q125" i="3"/>
  <c r="R125" i="3"/>
  <c r="U125" i="3"/>
  <c r="I126" i="3"/>
  <c r="J126" i="3"/>
  <c r="K126" i="3"/>
  <c r="N126" i="3"/>
  <c r="O126" i="3"/>
  <c r="Q126" i="3"/>
  <c r="R126" i="3"/>
  <c r="U126" i="3"/>
  <c r="I127" i="3"/>
  <c r="J127" i="3"/>
  <c r="K127" i="3"/>
  <c r="N127" i="3"/>
  <c r="O127" i="3"/>
  <c r="Q127" i="3"/>
  <c r="R127" i="3"/>
  <c r="U127" i="3"/>
  <c r="I128" i="3"/>
  <c r="J128" i="3"/>
  <c r="K128" i="3"/>
  <c r="N128" i="3"/>
  <c r="O128" i="3"/>
  <c r="Q128" i="3"/>
  <c r="R128" i="3"/>
  <c r="U128" i="3"/>
  <c r="I129" i="3"/>
  <c r="J129" i="3"/>
  <c r="K129" i="3"/>
  <c r="N129" i="3"/>
  <c r="O129" i="3"/>
  <c r="Q129" i="3"/>
  <c r="R129" i="3"/>
  <c r="U129" i="3"/>
  <c r="I130" i="3"/>
  <c r="J130" i="3"/>
  <c r="K130" i="3"/>
  <c r="N130" i="3"/>
  <c r="O130" i="3"/>
  <c r="Q130" i="3"/>
  <c r="R130" i="3"/>
  <c r="U130" i="3"/>
  <c r="I131" i="3"/>
  <c r="J131" i="3"/>
  <c r="K131" i="3"/>
  <c r="N131" i="3"/>
  <c r="O131" i="3"/>
  <c r="Q131" i="3"/>
  <c r="R131" i="3"/>
  <c r="U131" i="3"/>
  <c r="I132" i="3"/>
  <c r="J132" i="3"/>
  <c r="K132" i="3"/>
  <c r="N132" i="3"/>
  <c r="O132" i="3"/>
  <c r="Q132" i="3"/>
  <c r="R132" i="3"/>
  <c r="U132" i="3"/>
  <c r="I133" i="3"/>
  <c r="J133" i="3"/>
  <c r="K133" i="3"/>
  <c r="N133" i="3"/>
  <c r="O133" i="3"/>
  <c r="Q133" i="3"/>
  <c r="R133" i="3"/>
  <c r="U133" i="3"/>
  <c r="I134" i="3"/>
  <c r="J134" i="3"/>
  <c r="K134" i="3"/>
  <c r="N134" i="3"/>
  <c r="O134" i="3"/>
  <c r="Q134" i="3"/>
  <c r="R134" i="3"/>
  <c r="U134" i="3"/>
  <c r="I135" i="3"/>
  <c r="J135" i="3"/>
  <c r="K135" i="3"/>
  <c r="N135" i="3"/>
  <c r="O135" i="3"/>
  <c r="Q135" i="3"/>
  <c r="R135" i="3"/>
  <c r="U135" i="3"/>
  <c r="I136" i="3"/>
  <c r="J136" i="3"/>
  <c r="K136" i="3"/>
  <c r="N136" i="3"/>
  <c r="O136" i="3"/>
  <c r="Q136" i="3"/>
  <c r="R136" i="3"/>
  <c r="U136" i="3"/>
  <c r="I137" i="3"/>
  <c r="J137" i="3"/>
  <c r="K137" i="3"/>
  <c r="N137" i="3"/>
  <c r="O137" i="3"/>
  <c r="Q137" i="3"/>
  <c r="R137" i="3"/>
  <c r="U137" i="3"/>
  <c r="I138" i="3"/>
  <c r="J138" i="3"/>
  <c r="K138" i="3"/>
  <c r="N138" i="3"/>
  <c r="O138" i="3"/>
  <c r="Q138" i="3"/>
  <c r="R138" i="3"/>
  <c r="U138" i="3"/>
  <c r="I139" i="3"/>
  <c r="J139" i="3"/>
  <c r="K139" i="3"/>
  <c r="N139" i="3"/>
  <c r="O139" i="3"/>
  <c r="Q139" i="3"/>
  <c r="R139" i="3"/>
  <c r="U139" i="3"/>
  <c r="I140" i="3"/>
  <c r="J140" i="3"/>
  <c r="K140" i="3"/>
  <c r="N140" i="3"/>
  <c r="O140" i="3"/>
  <c r="Q140" i="3"/>
  <c r="R140" i="3"/>
  <c r="U140" i="3"/>
  <c r="I141" i="3"/>
  <c r="J141" i="3"/>
  <c r="K141" i="3"/>
  <c r="N141" i="3"/>
  <c r="O141" i="3"/>
  <c r="Q141" i="3"/>
  <c r="R141" i="3"/>
  <c r="U141" i="3"/>
  <c r="I142" i="3"/>
  <c r="J142" i="3"/>
  <c r="K142" i="3"/>
  <c r="N142" i="3"/>
  <c r="O142" i="3"/>
  <c r="Q142" i="3"/>
  <c r="R142" i="3"/>
  <c r="U142" i="3"/>
  <c r="I143" i="3"/>
  <c r="J143" i="3"/>
  <c r="K143" i="3"/>
  <c r="N143" i="3"/>
  <c r="O143" i="3"/>
  <c r="Q143" i="3"/>
  <c r="R143" i="3"/>
  <c r="U143" i="3"/>
  <c r="I144" i="3"/>
  <c r="J144" i="3"/>
  <c r="K144" i="3"/>
  <c r="N144" i="3"/>
  <c r="O144" i="3"/>
  <c r="Q144" i="3"/>
  <c r="R144" i="3"/>
  <c r="U144" i="3"/>
  <c r="I145" i="3"/>
  <c r="J145" i="3"/>
  <c r="K145" i="3"/>
  <c r="N145" i="3"/>
  <c r="O145" i="3"/>
  <c r="Q145" i="3"/>
  <c r="R145" i="3"/>
  <c r="U145" i="3"/>
  <c r="I146" i="3"/>
  <c r="J146" i="3"/>
  <c r="K146" i="3"/>
  <c r="N146" i="3"/>
  <c r="O146" i="3"/>
  <c r="Q146" i="3"/>
  <c r="R146" i="3"/>
  <c r="U146" i="3"/>
  <c r="I147" i="3"/>
  <c r="J147" i="3"/>
  <c r="K147" i="3"/>
  <c r="N147" i="3"/>
  <c r="O147" i="3"/>
  <c r="Q147" i="3"/>
  <c r="R147" i="3"/>
  <c r="U147" i="3"/>
  <c r="I148" i="3"/>
  <c r="J148" i="3"/>
  <c r="K148" i="3"/>
  <c r="N148" i="3"/>
  <c r="O148" i="3"/>
  <c r="Q148" i="3"/>
  <c r="R148" i="3"/>
  <c r="U148" i="3"/>
  <c r="I149" i="3"/>
  <c r="J149" i="3"/>
  <c r="K149" i="3"/>
  <c r="N149" i="3"/>
  <c r="O149" i="3"/>
  <c r="Q149" i="3"/>
  <c r="R149" i="3"/>
  <c r="U149" i="3"/>
  <c r="I150" i="3"/>
  <c r="J150" i="3"/>
  <c r="K150" i="3"/>
  <c r="N150" i="3"/>
  <c r="O150" i="3"/>
  <c r="Q150" i="3"/>
  <c r="R150" i="3"/>
  <c r="U150" i="3"/>
  <c r="I151" i="3"/>
  <c r="J151" i="3"/>
  <c r="K151" i="3"/>
  <c r="N151" i="3"/>
  <c r="O151" i="3"/>
  <c r="Q151" i="3"/>
  <c r="R151" i="3"/>
  <c r="U151" i="3"/>
  <c r="I152" i="3"/>
  <c r="J152" i="3"/>
  <c r="K152" i="3"/>
  <c r="N152" i="3"/>
  <c r="O152" i="3"/>
  <c r="Q152" i="3"/>
  <c r="R152" i="3"/>
  <c r="U152" i="3"/>
  <c r="I153" i="3"/>
  <c r="J153" i="3"/>
  <c r="K153" i="3"/>
  <c r="N153" i="3"/>
  <c r="O153" i="3"/>
  <c r="Q153" i="3"/>
  <c r="R153" i="3"/>
  <c r="U153" i="3"/>
  <c r="I154" i="3"/>
  <c r="J154" i="3"/>
  <c r="K154" i="3"/>
  <c r="N154" i="3"/>
  <c r="O154" i="3"/>
  <c r="Q154" i="3"/>
  <c r="R154" i="3"/>
  <c r="U154" i="3"/>
  <c r="I155" i="3"/>
  <c r="J155" i="3"/>
  <c r="K155" i="3"/>
  <c r="N155" i="3"/>
  <c r="O155" i="3"/>
  <c r="Q155" i="3"/>
  <c r="R155" i="3"/>
  <c r="U155" i="3"/>
  <c r="I156" i="3"/>
  <c r="J156" i="3"/>
  <c r="K156" i="3"/>
  <c r="N156" i="3"/>
  <c r="O156" i="3"/>
  <c r="Q156" i="3"/>
  <c r="R156" i="3"/>
  <c r="U156" i="3"/>
  <c r="I157" i="3"/>
  <c r="J157" i="3"/>
  <c r="K157" i="3"/>
  <c r="N157" i="3"/>
  <c r="O157" i="3"/>
  <c r="Q157" i="3"/>
  <c r="R157" i="3"/>
  <c r="U157" i="3"/>
  <c r="I158" i="3"/>
  <c r="J158" i="3"/>
  <c r="K158" i="3"/>
  <c r="N158" i="3"/>
  <c r="O158" i="3"/>
  <c r="Q158" i="3"/>
  <c r="R158" i="3"/>
  <c r="U158" i="3"/>
  <c r="I159" i="3"/>
  <c r="J159" i="3"/>
  <c r="K159" i="3"/>
  <c r="N159" i="3"/>
  <c r="O159" i="3"/>
  <c r="Q159" i="3"/>
  <c r="R159" i="3"/>
  <c r="U159" i="3"/>
  <c r="I160" i="3"/>
  <c r="J160" i="3"/>
  <c r="K160" i="3"/>
  <c r="N160" i="3"/>
  <c r="O160" i="3"/>
  <c r="Q160" i="3"/>
  <c r="R160" i="3"/>
  <c r="U160" i="3"/>
  <c r="I161" i="3"/>
  <c r="J161" i="3"/>
  <c r="K161" i="3"/>
  <c r="N161" i="3"/>
  <c r="O161" i="3"/>
  <c r="Q161" i="3"/>
  <c r="R161" i="3"/>
  <c r="U161" i="3"/>
  <c r="I162" i="3"/>
  <c r="J162" i="3"/>
  <c r="K162" i="3"/>
  <c r="N162" i="3"/>
  <c r="O162" i="3"/>
  <c r="Q162" i="3"/>
  <c r="R162" i="3"/>
  <c r="U162" i="3"/>
  <c r="I163" i="3"/>
  <c r="J163" i="3"/>
  <c r="K163" i="3"/>
  <c r="N163" i="3"/>
  <c r="O163" i="3"/>
  <c r="Q163" i="3"/>
  <c r="R163" i="3"/>
  <c r="U163" i="3"/>
  <c r="I164" i="3"/>
  <c r="J164" i="3"/>
  <c r="K164" i="3"/>
  <c r="N164" i="3"/>
  <c r="O164" i="3"/>
  <c r="Q164" i="3"/>
  <c r="R164" i="3"/>
  <c r="U164" i="3"/>
  <c r="I165" i="3"/>
  <c r="J165" i="3"/>
  <c r="K165" i="3"/>
  <c r="N165" i="3"/>
  <c r="O165" i="3"/>
  <c r="Q165" i="3"/>
  <c r="R165" i="3"/>
  <c r="U165" i="3"/>
  <c r="I166" i="3"/>
  <c r="J166" i="3"/>
  <c r="K166" i="3"/>
  <c r="N166" i="3"/>
  <c r="O166" i="3"/>
  <c r="Q166" i="3"/>
  <c r="R166" i="3"/>
  <c r="U166" i="3"/>
  <c r="I167" i="3"/>
  <c r="J167" i="3"/>
  <c r="K167" i="3"/>
  <c r="N167" i="3"/>
  <c r="O167" i="3"/>
  <c r="Q167" i="3"/>
  <c r="R167" i="3"/>
  <c r="U167" i="3"/>
  <c r="I168" i="3"/>
  <c r="J168" i="3"/>
  <c r="K168" i="3"/>
  <c r="N168" i="3"/>
  <c r="O168" i="3"/>
  <c r="Q168" i="3"/>
  <c r="R168" i="3"/>
  <c r="U168" i="3"/>
  <c r="I169" i="3"/>
  <c r="J169" i="3"/>
  <c r="K169" i="3"/>
  <c r="N169" i="3"/>
  <c r="O169" i="3"/>
  <c r="Q169" i="3"/>
  <c r="R169" i="3"/>
  <c r="U169" i="3"/>
  <c r="I170" i="3"/>
  <c r="J170" i="3"/>
  <c r="K170" i="3"/>
  <c r="N170" i="3"/>
  <c r="O170" i="3"/>
  <c r="Q170" i="3"/>
  <c r="R170" i="3"/>
  <c r="U170" i="3"/>
  <c r="I171" i="3"/>
  <c r="J171" i="3"/>
  <c r="K171" i="3"/>
  <c r="N171" i="3"/>
  <c r="O171" i="3"/>
  <c r="Q171" i="3"/>
  <c r="R171" i="3"/>
  <c r="U171" i="3"/>
  <c r="I172" i="3"/>
  <c r="J172" i="3"/>
  <c r="K172" i="3"/>
  <c r="N172" i="3"/>
  <c r="O172" i="3"/>
  <c r="Q172" i="3"/>
  <c r="R172" i="3"/>
  <c r="U172" i="3"/>
  <c r="I173" i="3"/>
  <c r="J173" i="3"/>
  <c r="K173" i="3"/>
  <c r="N173" i="3"/>
  <c r="O173" i="3"/>
  <c r="Q173" i="3"/>
  <c r="R173" i="3"/>
  <c r="U173" i="3"/>
  <c r="I174" i="3"/>
  <c r="J174" i="3"/>
  <c r="K174" i="3"/>
  <c r="N174" i="3"/>
  <c r="O174" i="3"/>
  <c r="Q174" i="3"/>
  <c r="R174" i="3"/>
  <c r="U174" i="3"/>
  <c r="I175" i="3"/>
  <c r="J175" i="3"/>
  <c r="K175" i="3"/>
  <c r="N175" i="3"/>
  <c r="O175" i="3"/>
  <c r="Q175" i="3"/>
  <c r="R175" i="3"/>
  <c r="U175" i="3"/>
  <c r="I176" i="3"/>
  <c r="J176" i="3"/>
  <c r="K176" i="3"/>
  <c r="N176" i="3"/>
  <c r="O176" i="3"/>
  <c r="Q176" i="3"/>
  <c r="R176" i="3"/>
  <c r="U176" i="3"/>
  <c r="I177" i="3"/>
  <c r="J177" i="3"/>
  <c r="K177" i="3"/>
  <c r="N177" i="3"/>
  <c r="O177" i="3"/>
  <c r="Q177" i="3"/>
  <c r="R177" i="3"/>
  <c r="U177" i="3"/>
  <c r="I178" i="3"/>
  <c r="J178" i="3"/>
  <c r="K178" i="3"/>
  <c r="N178" i="3"/>
  <c r="O178" i="3"/>
  <c r="Q178" i="3"/>
  <c r="R178" i="3"/>
  <c r="U178" i="3"/>
  <c r="I179" i="3"/>
  <c r="J179" i="3"/>
  <c r="K179" i="3"/>
  <c r="N179" i="3"/>
  <c r="O179" i="3"/>
  <c r="Q179" i="3"/>
  <c r="R179" i="3"/>
  <c r="U179" i="3"/>
  <c r="I180" i="3"/>
  <c r="J180" i="3"/>
  <c r="K180" i="3"/>
  <c r="N180" i="3"/>
  <c r="O180" i="3"/>
  <c r="Q180" i="3"/>
  <c r="R180" i="3"/>
  <c r="U180" i="3"/>
  <c r="I181" i="3"/>
  <c r="J181" i="3"/>
  <c r="K181" i="3"/>
  <c r="N181" i="3"/>
  <c r="O181" i="3"/>
  <c r="Q181" i="3"/>
  <c r="R181" i="3"/>
  <c r="U181" i="3"/>
  <c r="I182" i="3"/>
  <c r="J182" i="3"/>
  <c r="K182" i="3"/>
  <c r="N182" i="3"/>
  <c r="O182" i="3"/>
  <c r="Q182" i="3"/>
  <c r="R182" i="3"/>
  <c r="U182" i="3"/>
  <c r="I183" i="3"/>
  <c r="J183" i="3"/>
  <c r="K183" i="3"/>
  <c r="N183" i="3"/>
  <c r="O183" i="3"/>
  <c r="Q183" i="3"/>
  <c r="R183" i="3"/>
  <c r="U183" i="3"/>
  <c r="I184" i="3"/>
  <c r="J184" i="3"/>
  <c r="K184" i="3"/>
  <c r="N184" i="3"/>
  <c r="O184" i="3"/>
  <c r="Q184" i="3"/>
  <c r="R184" i="3"/>
  <c r="U184" i="3"/>
  <c r="I185" i="3"/>
  <c r="J185" i="3"/>
  <c r="K185" i="3"/>
  <c r="N185" i="3"/>
  <c r="O185" i="3"/>
  <c r="Q185" i="3"/>
  <c r="R185" i="3"/>
  <c r="U185" i="3"/>
  <c r="I186" i="3"/>
  <c r="J186" i="3"/>
  <c r="K186" i="3"/>
  <c r="N186" i="3"/>
  <c r="O186" i="3"/>
  <c r="Q186" i="3"/>
  <c r="R186" i="3"/>
  <c r="U186" i="3"/>
  <c r="I187" i="3"/>
  <c r="J187" i="3"/>
  <c r="K187" i="3"/>
  <c r="N187" i="3"/>
  <c r="O187" i="3"/>
  <c r="Q187" i="3"/>
  <c r="R187" i="3"/>
  <c r="U187" i="3"/>
  <c r="I188" i="3"/>
  <c r="J188" i="3"/>
  <c r="K188" i="3"/>
  <c r="N188" i="3"/>
  <c r="O188" i="3"/>
  <c r="Q188" i="3"/>
  <c r="R188" i="3"/>
  <c r="U188" i="3"/>
  <c r="I189" i="3"/>
  <c r="J189" i="3"/>
  <c r="K189" i="3"/>
  <c r="N189" i="3"/>
  <c r="O189" i="3"/>
  <c r="Q189" i="3"/>
  <c r="R189" i="3"/>
  <c r="U189" i="3"/>
  <c r="I190" i="3"/>
  <c r="J190" i="3"/>
  <c r="K190" i="3"/>
  <c r="N190" i="3"/>
  <c r="O190" i="3"/>
  <c r="Q190" i="3"/>
  <c r="R190" i="3"/>
  <c r="U190" i="3"/>
  <c r="I191" i="3"/>
  <c r="J191" i="3"/>
  <c r="K191" i="3"/>
  <c r="N191" i="3"/>
  <c r="O191" i="3"/>
  <c r="Q191" i="3"/>
  <c r="R191" i="3"/>
  <c r="U191" i="3"/>
  <c r="I192" i="3"/>
  <c r="J192" i="3"/>
  <c r="K192" i="3"/>
  <c r="N192" i="3"/>
  <c r="O192" i="3"/>
  <c r="Q192" i="3"/>
  <c r="R192" i="3"/>
  <c r="U192" i="3"/>
  <c r="I193" i="3"/>
  <c r="J193" i="3"/>
  <c r="K193" i="3"/>
  <c r="N193" i="3"/>
  <c r="O193" i="3"/>
  <c r="Q193" i="3"/>
  <c r="R193" i="3"/>
  <c r="U193" i="3"/>
  <c r="I194" i="3"/>
  <c r="J194" i="3"/>
  <c r="K194" i="3"/>
  <c r="N194" i="3"/>
  <c r="O194" i="3"/>
  <c r="Q194" i="3"/>
  <c r="R194" i="3"/>
  <c r="U194" i="3"/>
  <c r="I195" i="3"/>
  <c r="J195" i="3"/>
  <c r="K195" i="3"/>
  <c r="N195" i="3"/>
  <c r="O195" i="3"/>
  <c r="Q195" i="3"/>
  <c r="R195" i="3"/>
  <c r="U195" i="3"/>
  <c r="I196" i="3"/>
  <c r="J196" i="3"/>
  <c r="K196" i="3"/>
  <c r="N196" i="3"/>
  <c r="O196" i="3"/>
  <c r="Q196" i="3"/>
  <c r="R196" i="3"/>
  <c r="U196" i="3"/>
  <c r="I197" i="3"/>
  <c r="J197" i="3"/>
  <c r="K197" i="3"/>
  <c r="N197" i="3"/>
  <c r="O197" i="3"/>
  <c r="Q197" i="3"/>
  <c r="R197" i="3"/>
  <c r="U197" i="3"/>
  <c r="I198" i="3"/>
  <c r="J198" i="3"/>
  <c r="K198" i="3"/>
  <c r="N198" i="3"/>
  <c r="O198" i="3"/>
  <c r="Q198" i="3"/>
  <c r="R198" i="3"/>
  <c r="U198" i="3"/>
  <c r="I199" i="3"/>
  <c r="J199" i="3"/>
  <c r="K199" i="3"/>
  <c r="N199" i="3"/>
  <c r="O199" i="3"/>
  <c r="Q199" i="3"/>
  <c r="R199" i="3"/>
  <c r="U199" i="3"/>
  <c r="I200" i="3"/>
  <c r="J200" i="3"/>
  <c r="K200" i="3"/>
  <c r="N200" i="3"/>
  <c r="O200" i="3"/>
  <c r="Q200" i="3"/>
  <c r="R200" i="3"/>
  <c r="U200" i="3"/>
  <c r="I201" i="3"/>
  <c r="J201" i="3"/>
  <c r="K201" i="3"/>
  <c r="N201" i="3"/>
  <c r="O201" i="3"/>
  <c r="Q201" i="3"/>
  <c r="R201" i="3"/>
  <c r="U201" i="3"/>
  <c r="I202" i="3"/>
  <c r="J202" i="3"/>
  <c r="K202" i="3"/>
  <c r="N202" i="3"/>
  <c r="O202" i="3"/>
  <c r="Q202" i="3"/>
  <c r="R202" i="3"/>
  <c r="U202" i="3"/>
  <c r="I203" i="3"/>
  <c r="J203" i="3"/>
  <c r="K203" i="3"/>
  <c r="N203" i="3"/>
  <c r="O203" i="3"/>
  <c r="Q203" i="3"/>
  <c r="R203" i="3"/>
  <c r="U203" i="3"/>
  <c r="I204" i="3"/>
  <c r="J204" i="3"/>
  <c r="K204" i="3"/>
  <c r="N204" i="3"/>
  <c r="O204" i="3"/>
  <c r="Q204" i="3"/>
  <c r="R204" i="3"/>
  <c r="U204" i="3"/>
  <c r="I205" i="3"/>
  <c r="J205" i="3"/>
  <c r="K205" i="3"/>
  <c r="N205" i="3"/>
  <c r="O205" i="3"/>
  <c r="Q205" i="3"/>
  <c r="R205" i="3"/>
  <c r="U205" i="3"/>
  <c r="I206" i="3"/>
  <c r="J206" i="3"/>
  <c r="K206" i="3"/>
  <c r="N206" i="3"/>
  <c r="O206" i="3"/>
  <c r="Q206" i="3"/>
  <c r="R206" i="3"/>
  <c r="U206" i="3"/>
  <c r="I207" i="3"/>
  <c r="J207" i="3"/>
  <c r="K207" i="3"/>
  <c r="N207" i="3"/>
  <c r="O207" i="3"/>
  <c r="Q207" i="3"/>
  <c r="R207" i="3"/>
  <c r="U207" i="3"/>
  <c r="I208" i="3"/>
  <c r="J208" i="3"/>
  <c r="K208" i="3"/>
  <c r="N208" i="3"/>
  <c r="O208" i="3"/>
  <c r="Q208" i="3"/>
  <c r="R208" i="3"/>
  <c r="U208" i="3"/>
  <c r="I209" i="3"/>
  <c r="J209" i="3"/>
  <c r="K209" i="3"/>
  <c r="N209" i="3"/>
  <c r="O209" i="3"/>
  <c r="Q209" i="3"/>
  <c r="R209" i="3"/>
  <c r="U209" i="3"/>
  <c r="I210" i="3"/>
  <c r="J210" i="3"/>
  <c r="K210" i="3"/>
  <c r="N210" i="3"/>
  <c r="O210" i="3"/>
  <c r="Q210" i="3"/>
  <c r="R210" i="3"/>
  <c r="U210" i="3"/>
  <c r="I211" i="3"/>
  <c r="J211" i="3"/>
  <c r="K211" i="3"/>
  <c r="N211" i="3"/>
  <c r="O211" i="3"/>
  <c r="Q211" i="3"/>
  <c r="R211" i="3"/>
  <c r="U211" i="3"/>
  <c r="I212" i="3"/>
  <c r="J212" i="3"/>
  <c r="K212" i="3"/>
  <c r="N212" i="3"/>
  <c r="O212" i="3"/>
  <c r="Q212" i="3"/>
  <c r="R212" i="3"/>
  <c r="U212" i="3"/>
  <c r="I213" i="3"/>
  <c r="J213" i="3"/>
  <c r="K213" i="3"/>
  <c r="N213" i="3"/>
  <c r="O213" i="3"/>
  <c r="Q213" i="3"/>
  <c r="R213" i="3"/>
  <c r="U213" i="3"/>
  <c r="I214" i="3"/>
  <c r="J214" i="3"/>
  <c r="K214" i="3"/>
  <c r="N214" i="3"/>
  <c r="O214" i="3"/>
  <c r="Q214" i="3"/>
  <c r="R214" i="3"/>
  <c r="U214" i="3"/>
  <c r="I215" i="3"/>
  <c r="J215" i="3"/>
  <c r="K215" i="3"/>
  <c r="N215" i="3"/>
  <c r="O215" i="3"/>
  <c r="Q215" i="3"/>
  <c r="R215" i="3"/>
  <c r="U215" i="3"/>
  <c r="I216" i="3"/>
  <c r="J216" i="3"/>
  <c r="K216" i="3"/>
  <c r="N216" i="3"/>
  <c r="O216" i="3"/>
  <c r="Q216" i="3"/>
  <c r="R216" i="3"/>
  <c r="U216" i="3"/>
  <c r="I217" i="3"/>
  <c r="J217" i="3"/>
  <c r="K217" i="3"/>
  <c r="N217" i="3"/>
  <c r="O217" i="3"/>
  <c r="Q217" i="3"/>
  <c r="R217" i="3"/>
  <c r="U217" i="3"/>
  <c r="I218" i="3"/>
  <c r="J218" i="3"/>
  <c r="K218" i="3"/>
  <c r="N218" i="3"/>
  <c r="O218" i="3"/>
  <c r="Q218" i="3"/>
  <c r="R218" i="3"/>
  <c r="U218" i="3"/>
  <c r="I219" i="3"/>
  <c r="J219" i="3"/>
  <c r="K219" i="3"/>
  <c r="N219" i="3"/>
  <c r="O219" i="3"/>
  <c r="Q219" i="3"/>
  <c r="R219" i="3"/>
  <c r="U219" i="3"/>
  <c r="I220" i="3"/>
  <c r="J220" i="3"/>
  <c r="K220" i="3"/>
  <c r="N220" i="3"/>
  <c r="O220" i="3"/>
  <c r="Q220" i="3"/>
  <c r="R220" i="3"/>
  <c r="U220" i="3"/>
  <c r="I221" i="3"/>
  <c r="J221" i="3"/>
  <c r="K221" i="3"/>
  <c r="N221" i="3"/>
  <c r="O221" i="3"/>
  <c r="Q221" i="3"/>
  <c r="R221" i="3"/>
  <c r="U221" i="3"/>
  <c r="I222" i="3"/>
  <c r="J222" i="3"/>
  <c r="K222" i="3"/>
  <c r="N222" i="3"/>
  <c r="O222" i="3"/>
  <c r="Q222" i="3"/>
  <c r="R222" i="3"/>
  <c r="U222" i="3"/>
  <c r="I223" i="3"/>
  <c r="J223" i="3"/>
  <c r="K223" i="3"/>
  <c r="N223" i="3"/>
  <c r="O223" i="3"/>
  <c r="Q223" i="3"/>
  <c r="R223" i="3"/>
  <c r="U223" i="3"/>
  <c r="I224" i="3"/>
  <c r="J224" i="3"/>
  <c r="K224" i="3"/>
  <c r="N224" i="3"/>
  <c r="O224" i="3"/>
  <c r="Q224" i="3"/>
  <c r="R224" i="3"/>
  <c r="U224" i="3"/>
  <c r="I225" i="3"/>
  <c r="J225" i="3"/>
  <c r="K225" i="3"/>
  <c r="N225" i="3"/>
  <c r="O225" i="3"/>
  <c r="Q225" i="3"/>
  <c r="R225" i="3"/>
  <c r="U225" i="3"/>
  <c r="I226" i="3"/>
  <c r="J226" i="3"/>
  <c r="K226" i="3"/>
  <c r="N226" i="3"/>
  <c r="O226" i="3"/>
  <c r="Q226" i="3"/>
  <c r="R226" i="3"/>
  <c r="U226" i="3"/>
  <c r="I227" i="3"/>
  <c r="J227" i="3"/>
  <c r="K227" i="3"/>
  <c r="N227" i="3"/>
  <c r="O227" i="3"/>
  <c r="Q227" i="3"/>
  <c r="R227" i="3"/>
  <c r="U227" i="3"/>
  <c r="I228" i="3"/>
  <c r="J228" i="3"/>
  <c r="K228" i="3"/>
  <c r="N228" i="3"/>
  <c r="O228" i="3"/>
  <c r="Q228" i="3"/>
  <c r="R228" i="3"/>
  <c r="U228" i="3"/>
  <c r="I229" i="3"/>
  <c r="J229" i="3"/>
  <c r="K229" i="3"/>
  <c r="N229" i="3"/>
  <c r="O229" i="3"/>
  <c r="Q229" i="3"/>
  <c r="R229" i="3"/>
  <c r="U229" i="3"/>
  <c r="I230" i="3"/>
  <c r="J230" i="3"/>
  <c r="K230" i="3"/>
  <c r="N230" i="3"/>
  <c r="O230" i="3"/>
  <c r="Q230" i="3"/>
  <c r="R230" i="3"/>
  <c r="U230" i="3"/>
  <c r="I231" i="3"/>
  <c r="J231" i="3"/>
  <c r="K231" i="3"/>
  <c r="N231" i="3"/>
  <c r="O231" i="3"/>
  <c r="Q231" i="3"/>
  <c r="R231" i="3"/>
  <c r="U231" i="3"/>
  <c r="I232" i="3"/>
  <c r="J232" i="3"/>
  <c r="K232" i="3"/>
  <c r="N232" i="3"/>
  <c r="O232" i="3"/>
  <c r="Q232" i="3"/>
  <c r="R232" i="3"/>
  <c r="U232" i="3"/>
  <c r="I233" i="3"/>
  <c r="J233" i="3"/>
  <c r="K233" i="3"/>
  <c r="N233" i="3"/>
  <c r="O233" i="3"/>
  <c r="Q233" i="3"/>
  <c r="R233" i="3"/>
  <c r="U233" i="3"/>
  <c r="I234" i="3"/>
  <c r="J234" i="3"/>
  <c r="K234" i="3"/>
  <c r="N234" i="3"/>
  <c r="O234" i="3"/>
  <c r="Q234" i="3"/>
  <c r="R234" i="3"/>
  <c r="U234" i="3"/>
  <c r="I235" i="3"/>
  <c r="J235" i="3"/>
  <c r="K235" i="3"/>
  <c r="N235" i="3"/>
  <c r="O235" i="3"/>
  <c r="Q235" i="3"/>
  <c r="R235" i="3"/>
  <c r="U235" i="3"/>
  <c r="I236" i="3"/>
  <c r="J236" i="3"/>
  <c r="K236" i="3"/>
  <c r="N236" i="3"/>
  <c r="O236" i="3"/>
  <c r="Q236" i="3"/>
  <c r="R236" i="3"/>
  <c r="U236" i="3"/>
  <c r="I237" i="3"/>
  <c r="J237" i="3"/>
  <c r="K237" i="3"/>
  <c r="N237" i="3"/>
  <c r="O237" i="3"/>
  <c r="Q237" i="3"/>
  <c r="R237" i="3"/>
  <c r="U237" i="3"/>
  <c r="I238" i="3"/>
  <c r="J238" i="3"/>
  <c r="K238" i="3"/>
  <c r="N238" i="3"/>
  <c r="O238" i="3"/>
  <c r="Q238" i="3"/>
  <c r="R238" i="3"/>
  <c r="U238" i="3"/>
  <c r="I239" i="3"/>
  <c r="J239" i="3"/>
  <c r="K239" i="3"/>
  <c r="N239" i="3"/>
  <c r="O239" i="3"/>
  <c r="Q239" i="3"/>
  <c r="R239" i="3"/>
  <c r="U239" i="3"/>
  <c r="I240" i="3"/>
  <c r="J240" i="3"/>
  <c r="K240" i="3"/>
  <c r="N240" i="3"/>
  <c r="O240" i="3"/>
  <c r="Q240" i="3"/>
  <c r="R240" i="3"/>
  <c r="U240" i="3"/>
  <c r="I241" i="3"/>
  <c r="J241" i="3"/>
  <c r="K241" i="3"/>
  <c r="N241" i="3"/>
  <c r="O241" i="3"/>
  <c r="Q241" i="3"/>
  <c r="R241" i="3"/>
  <c r="U241" i="3"/>
  <c r="I242" i="3"/>
  <c r="J242" i="3"/>
  <c r="K242" i="3"/>
  <c r="N242" i="3"/>
  <c r="O242" i="3"/>
  <c r="Q242" i="3"/>
  <c r="R242" i="3"/>
  <c r="U242" i="3"/>
  <c r="I243" i="3"/>
  <c r="J243" i="3"/>
  <c r="K243" i="3"/>
  <c r="N243" i="3"/>
  <c r="O243" i="3"/>
  <c r="Q243" i="3"/>
  <c r="R243" i="3"/>
  <c r="U243" i="3"/>
  <c r="I244" i="3"/>
  <c r="J244" i="3"/>
  <c r="K244" i="3"/>
  <c r="N244" i="3"/>
  <c r="O244" i="3"/>
  <c r="Q244" i="3"/>
  <c r="R244" i="3"/>
  <c r="U244" i="3"/>
  <c r="I245" i="3"/>
  <c r="J245" i="3"/>
  <c r="K245" i="3"/>
  <c r="N245" i="3"/>
  <c r="O245" i="3"/>
  <c r="Q245" i="3"/>
  <c r="R245" i="3"/>
  <c r="U245" i="3"/>
  <c r="I246" i="3"/>
  <c r="J246" i="3"/>
  <c r="K246" i="3"/>
  <c r="N246" i="3"/>
  <c r="O246" i="3"/>
  <c r="Q246" i="3"/>
  <c r="R246" i="3"/>
  <c r="U246" i="3"/>
  <c r="I247" i="3"/>
  <c r="J247" i="3"/>
  <c r="K247" i="3"/>
  <c r="N247" i="3"/>
  <c r="O247" i="3"/>
  <c r="Q247" i="3"/>
  <c r="R247" i="3"/>
  <c r="U247" i="3"/>
  <c r="I248" i="3"/>
  <c r="J248" i="3"/>
  <c r="K248" i="3"/>
  <c r="N248" i="3"/>
  <c r="O248" i="3"/>
  <c r="Q248" i="3"/>
  <c r="R248" i="3"/>
  <c r="U248" i="3"/>
  <c r="I249" i="3"/>
  <c r="J249" i="3"/>
  <c r="K249" i="3"/>
  <c r="N249" i="3"/>
  <c r="O249" i="3"/>
  <c r="Q249" i="3"/>
  <c r="R249" i="3"/>
  <c r="U249" i="3"/>
  <c r="I250" i="3"/>
  <c r="J250" i="3"/>
  <c r="K250" i="3"/>
  <c r="N250" i="3"/>
  <c r="O250" i="3"/>
  <c r="Q250" i="3"/>
  <c r="R250" i="3"/>
  <c r="U250" i="3"/>
  <c r="I251" i="3"/>
  <c r="J251" i="3"/>
  <c r="K251" i="3"/>
  <c r="N251" i="3"/>
  <c r="O251" i="3"/>
  <c r="Q251" i="3"/>
  <c r="R251" i="3"/>
  <c r="U251" i="3"/>
  <c r="I252" i="3"/>
  <c r="J252" i="3"/>
  <c r="K252" i="3"/>
  <c r="N252" i="3"/>
  <c r="O252" i="3"/>
  <c r="Q252" i="3"/>
  <c r="R252" i="3"/>
  <c r="U252" i="3"/>
  <c r="I253" i="3"/>
  <c r="J253" i="3"/>
  <c r="K253" i="3"/>
  <c r="N253" i="3"/>
  <c r="O253" i="3"/>
  <c r="Q253" i="3"/>
  <c r="R253" i="3"/>
  <c r="U253" i="3"/>
  <c r="I254" i="3"/>
  <c r="J254" i="3"/>
  <c r="K254" i="3"/>
  <c r="N254" i="3"/>
  <c r="O254" i="3"/>
  <c r="Q254" i="3"/>
  <c r="R254" i="3"/>
  <c r="U254" i="3"/>
  <c r="I255" i="3"/>
  <c r="J255" i="3"/>
  <c r="K255" i="3"/>
  <c r="N255" i="3"/>
  <c r="O255" i="3"/>
  <c r="Q255" i="3"/>
  <c r="R255" i="3"/>
  <c r="U255" i="3"/>
  <c r="I256" i="3"/>
  <c r="J256" i="3"/>
  <c r="K256" i="3"/>
  <c r="N256" i="3"/>
  <c r="O256" i="3"/>
  <c r="Q256" i="3"/>
  <c r="R256" i="3"/>
  <c r="U256" i="3"/>
  <c r="I257" i="3"/>
  <c r="J257" i="3"/>
  <c r="K257" i="3"/>
  <c r="N257" i="3"/>
  <c r="O257" i="3"/>
  <c r="Q257" i="3"/>
  <c r="R257" i="3"/>
  <c r="U257" i="3"/>
  <c r="I258" i="3"/>
  <c r="J258" i="3"/>
  <c r="K258" i="3"/>
  <c r="N258" i="3"/>
  <c r="O258" i="3"/>
  <c r="Q258" i="3"/>
  <c r="R258" i="3"/>
  <c r="U258" i="3"/>
  <c r="I259" i="3"/>
  <c r="J259" i="3"/>
  <c r="K259" i="3"/>
  <c r="N259" i="3"/>
  <c r="O259" i="3"/>
  <c r="Q259" i="3"/>
  <c r="R259" i="3"/>
  <c r="U259" i="3"/>
  <c r="I260" i="3"/>
  <c r="J260" i="3"/>
  <c r="K260" i="3"/>
  <c r="N260" i="3"/>
  <c r="O260" i="3"/>
  <c r="Q260" i="3"/>
  <c r="R260" i="3"/>
  <c r="U260" i="3"/>
  <c r="I261" i="3"/>
  <c r="J261" i="3"/>
  <c r="K261" i="3"/>
  <c r="N261" i="3"/>
  <c r="O261" i="3"/>
  <c r="Q261" i="3"/>
  <c r="R261" i="3"/>
  <c r="U261" i="3"/>
  <c r="I262" i="3"/>
  <c r="J262" i="3"/>
  <c r="K262" i="3"/>
  <c r="N262" i="3"/>
  <c r="O262" i="3"/>
  <c r="Q262" i="3"/>
  <c r="R262" i="3"/>
  <c r="U262" i="3"/>
  <c r="I263" i="3"/>
  <c r="J263" i="3"/>
  <c r="K263" i="3"/>
  <c r="N263" i="3"/>
  <c r="O263" i="3"/>
  <c r="Q263" i="3"/>
  <c r="R263" i="3"/>
  <c r="U263" i="3"/>
  <c r="I264" i="3"/>
  <c r="J264" i="3"/>
  <c r="K264" i="3"/>
  <c r="N264" i="3"/>
  <c r="O264" i="3"/>
  <c r="Q264" i="3"/>
  <c r="R264" i="3"/>
  <c r="U264" i="3"/>
  <c r="I265" i="3"/>
  <c r="J265" i="3"/>
  <c r="K265" i="3"/>
  <c r="N265" i="3"/>
  <c r="O265" i="3"/>
  <c r="Q265" i="3"/>
  <c r="R265" i="3"/>
  <c r="U265" i="3"/>
  <c r="I266" i="3"/>
  <c r="J266" i="3"/>
  <c r="K266" i="3"/>
  <c r="N266" i="3"/>
  <c r="O266" i="3"/>
  <c r="Q266" i="3"/>
  <c r="R266" i="3"/>
  <c r="U266" i="3"/>
  <c r="I267" i="3"/>
  <c r="J267" i="3"/>
  <c r="K267" i="3"/>
  <c r="N267" i="3"/>
  <c r="O267" i="3"/>
  <c r="Q267" i="3"/>
  <c r="R267" i="3"/>
  <c r="U267" i="3"/>
  <c r="I268" i="3"/>
  <c r="J268" i="3"/>
  <c r="K268" i="3"/>
  <c r="N268" i="3"/>
  <c r="O268" i="3"/>
  <c r="Q268" i="3"/>
  <c r="R268" i="3"/>
  <c r="U268" i="3"/>
  <c r="I269" i="3"/>
  <c r="J269" i="3"/>
  <c r="K269" i="3"/>
  <c r="N269" i="3"/>
  <c r="O269" i="3"/>
  <c r="Q269" i="3"/>
  <c r="R269" i="3"/>
  <c r="U269" i="3"/>
  <c r="I270" i="3"/>
  <c r="J270" i="3"/>
  <c r="K270" i="3"/>
  <c r="N270" i="3"/>
  <c r="O270" i="3"/>
  <c r="Q270" i="3"/>
  <c r="R270" i="3"/>
  <c r="U270" i="3"/>
  <c r="I271" i="3"/>
  <c r="J271" i="3"/>
  <c r="K271" i="3"/>
  <c r="N271" i="3"/>
  <c r="O271" i="3"/>
  <c r="Q271" i="3"/>
  <c r="R271" i="3"/>
  <c r="U271" i="3"/>
  <c r="I272" i="3"/>
  <c r="J272" i="3"/>
  <c r="K272" i="3"/>
  <c r="N272" i="3"/>
  <c r="O272" i="3"/>
  <c r="Q272" i="3"/>
  <c r="R272" i="3"/>
  <c r="U272" i="3"/>
  <c r="I273" i="3"/>
  <c r="J273" i="3"/>
  <c r="K273" i="3"/>
  <c r="N273" i="3"/>
  <c r="O273" i="3"/>
  <c r="Q273" i="3"/>
  <c r="R273" i="3"/>
  <c r="U273" i="3"/>
  <c r="I274" i="3"/>
  <c r="J274" i="3"/>
  <c r="K274" i="3"/>
  <c r="N274" i="3"/>
  <c r="O274" i="3"/>
  <c r="Q274" i="3"/>
  <c r="R274" i="3"/>
  <c r="U274" i="3"/>
  <c r="I275" i="3"/>
  <c r="J275" i="3"/>
  <c r="K275" i="3"/>
  <c r="N275" i="3"/>
  <c r="O275" i="3"/>
  <c r="Q275" i="3"/>
  <c r="R275" i="3"/>
  <c r="U275" i="3"/>
  <c r="I276" i="3"/>
  <c r="J276" i="3"/>
  <c r="K276" i="3"/>
  <c r="N276" i="3"/>
  <c r="O276" i="3"/>
  <c r="Q276" i="3"/>
  <c r="R276" i="3"/>
  <c r="U276" i="3"/>
  <c r="I277" i="3"/>
  <c r="J277" i="3"/>
  <c r="K277" i="3"/>
  <c r="N277" i="3"/>
  <c r="O277" i="3"/>
  <c r="Q277" i="3"/>
  <c r="R277" i="3"/>
  <c r="U277" i="3"/>
  <c r="I278" i="3"/>
  <c r="J278" i="3"/>
  <c r="K278" i="3"/>
  <c r="N278" i="3"/>
  <c r="O278" i="3"/>
  <c r="Q278" i="3"/>
  <c r="R278" i="3"/>
  <c r="U278" i="3"/>
  <c r="I279" i="3"/>
  <c r="J279" i="3"/>
  <c r="K279" i="3"/>
  <c r="N279" i="3"/>
  <c r="O279" i="3"/>
  <c r="Q279" i="3"/>
  <c r="R279" i="3"/>
  <c r="U279" i="3"/>
  <c r="I280" i="3"/>
  <c r="J280" i="3"/>
  <c r="K280" i="3"/>
  <c r="N280" i="3"/>
  <c r="O280" i="3"/>
  <c r="Q280" i="3"/>
  <c r="R280" i="3"/>
  <c r="U280" i="3"/>
  <c r="I281" i="3"/>
  <c r="J281" i="3"/>
  <c r="K281" i="3"/>
  <c r="N281" i="3"/>
  <c r="O281" i="3"/>
  <c r="Q281" i="3"/>
  <c r="R281" i="3"/>
  <c r="U281" i="3"/>
  <c r="I282" i="3"/>
  <c r="J282" i="3"/>
  <c r="K282" i="3"/>
  <c r="N282" i="3"/>
  <c r="O282" i="3"/>
  <c r="Q282" i="3"/>
  <c r="R282" i="3"/>
  <c r="U282" i="3"/>
  <c r="I283" i="3"/>
  <c r="J283" i="3"/>
  <c r="K283" i="3"/>
  <c r="N283" i="3"/>
  <c r="O283" i="3"/>
  <c r="Q283" i="3"/>
  <c r="R283" i="3"/>
  <c r="U283" i="3"/>
  <c r="I284" i="3"/>
  <c r="J284" i="3"/>
  <c r="K284" i="3"/>
  <c r="N284" i="3"/>
  <c r="O284" i="3"/>
  <c r="Q284" i="3"/>
  <c r="R284" i="3"/>
  <c r="U284" i="3"/>
  <c r="I285" i="3"/>
  <c r="J285" i="3"/>
  <c r="K285" i="3"/>
  <c r="N285" i="3"/>
  <c r="O285" i="3"/>
  <c r="Q285" i="3"/>
  <c r="R285" i="3"/>
  <c r="U285" i="3"/>
  <c r="I286" i="3"/>
  <c r="J286" i="3"/>
  <c r="K286" i="3"/>
  <c r="N286" i="3"/>
  <c r="O286" i="3"/>
  <c r="Q286" i="3"/>
  <c r="R286" i="3"/>
  <c r="U286" i="3"/>
  <c r="I287" i="3"/>
  <c r="J287" i="3"/>
  <c r="K287" i="3"/>
  <c r="N287" i="3"/>
  <c r="O287" i="3"/>
  <c r="Q287" i="3"/>
  <c r="R287" i="3"/>
  <c r="U287" i="3"/>
  <c r="I288" i="3"/>
  <c r="J288" i="3"/>
  <c r="K288" i="3"/>
  <c r="N288" i="3"/>
  <c r="O288" i="3"/>
  <c r="Q288" i="3"/>
  <c r="R288" i="3"/>
  <c r="U288" i="3"/>
  <c r="I289" i="3"/>
  <c r="J289" i="3"/>
  <c r="K289" i="3"/>
  <c r="N289" i="3"/>
  <c r="O289" i="3"/>
  <c r="Q289" i="3"/>
  <c r="R289" i="3"/>
  <c r="U289" i="3"/>
  <c r="I290" i="3"/>
  <c r="J290" i="3"/>
  <c r="K290" i="3"/>
  <c r="N290" i="3"/>
  <c r="O290" i="3"/>
  <c r="Q290" i="3"/>
  <c r="R290" i="3"/>
  <c r="U290" i="3"/>
  <c r="I291" i="3"/>
  <c r="J291" i="3"/>
  <c r="K291" i="3"/>
  <c r="N291" i="3"/>
  <c r="O291" i="3"/>
  <c r="Q291" i="3"/>
  <c r="R291" i="3"/>
  <c r="U291" i="3"/>
  <c r="I292" i="3"/>
  <c r="J292" i="3"/>
  <c r="K292" i="3"/>
  <c r="N292" i="3"/>
  <c r="O292" i="3"/>
  <c r="Q292" i="3"/>
  <c r="R292" i="3"/>
  <c r="U292" i="3"/>
  <c r="I293" i="3"/>
  <c r="J293" i="3"/>
  <c r="K293" i="3"/>
  <c r="N293" i="3"/>
  <c r="O293" i="3"/>
  <c r="Q293" i="3"/>
  <c r="R293" i="3"/>
  <c r="U293" i="3"/>
  <c r="I294" i="3"/>
  <c r="J294" i="3"/>
  <c r="K294" i="3"/>
  <c r="N294" i="3"/>
  <c r="O294" i="3"/>
  <c r="Q294" i="3"/>
  <c r="R294" i="3"/>
  <c r="U294" i="3"/>
  <c r="I295" i="3"/>
  <c r="J295" i="3"/>
  <c r="K295" i="3"/>
  <c r="N295" i="3"/>
  <c r="O295" i="3"/>
  <c r="Q295" i="3"/>
  <c r="R295" i="3"/>
  <c r="U295" i="3"/>
  <c r="I296" i="3"/>
  <c r="J296" i="3"/>
  <c r="K296" i="3"/>
  <c r="N296" i="3"/>
  <c r="O296" i="3"/>
  <c r="Q296" i="3"/>
  <c r="R296" i="3"/>
  <c r="U296" i="3"/>
  <c r="I297" i="3"/>
  <c r="J297" i="3"/>
  <c r="K297" i="3"/>
  <c r="N297" i="3"/>
  <c r="O297" i="3"/>
  <c r="Q297" i="3"/>
  <c r="R297" i="3"/>
  <c r="U297" i="3"/>
  <c r="I298" i="3"/>
  <c r="J298" i="3"/>
  <c r="K298" i="3"/>
  <c r="N298" i="3"/>
  <c r="O298" i="3"/>
  <c r="Q298" i="3"/>
  <c r="R298" i="3"/>
  <c r="U298" i="3"/>
  <c r="I299" i="3"/>
  <c r="J299" i="3"/>
  <c r="K299" i="3"/>
  <c r="N299" i="3"/>
  <c r="O299" i="3"/>
  <c r="Q299" i="3"/>
  <c r="R299" i="3"/>
  <c r="U299" i="3"/>
  <c r="I300" i="3"/>
  <c r="J300" i="3"/>
  <c r="K300" i="3"/>
  <c r="N300" i="3"/>
  <c r="O300" i="3"/>
  <c r="Q300" i="3"/>
  <c r="R300" i="3"/>
  <c r="U300" i="3"/>
  <c r="I301" i="3"/>
  <c r="J301" i="3"/>
  <c r="K301" i="3"/>
  <c r="N301" i="3"/>
  <c r="O301" i="3"/>
  <c r="Q301" i="3"/>
  <c r="R301" i="3"/>
  <c r="U301" i="3"/>
  <c r="I302" i="3"/>
  <c r="J302" i="3"/>
  <c r="K302" i="3"/>
  <c r="N302" i="3"/>
  <c r="O302" i="3"/>
  <c r="Q302" i="3"/>
  <c r="R302" i="3"/>
  <c r="U302" i="3"/>
  <c r="I303" i="3"/>
  <c r="J303" i="3"/>
  <c r="K303" i="3"/>
  <c r="N303" i="3"/>
  <c r="O303" i="3"/>
  <c r="Q303" i="3"/>
  <c r="R303" i="3"/>
  <c r="U303" i="3"/>
  <c r="I304" i="3"/>
  <c r="J304" i="3"/>
  <c r="K304" i="3"/>
  <c r="N304" i="3"/>
  <c r="O304" i="3"/>
  <c r="Q304" i="3"/>
  <c r="R304" i="3"/>
  <c r="U304" i="3"/>
  <c r="I305" i="3"/>
  <c r="J305" i="3"/>
  <c r="K305" i="3"/>
  <c r="N305" i="3"/>
  <c r="O305" i="3"/>
  <c r="Q305" i="3"/>
  <c r="R305" i="3"/>
  <c r="U305" i="3"/>
  <c r="I306" i="3"/>
  <c r="J306" i="3"/>
  <c r="K306" i="3"/>
  <c r="N306" i="3"/>
  <c r="O306" i="3"/>
  <c r="Q306" i="3"/>
  <c r="R306" i="3"/>
  <c r="U306" i="3"/>
  <c r="I307" i="3"/>
  <c r="J307" i="3"/>
  <c r="K307" i="3"/>
  <c r="N307" i="3"/>
  <c r="O307" i="3"/>
  <c r="Q307" i="3"/>
  <c r="R307" i="3"/>
  <c r="U307" i="3"/>
  <c r="I308" i="3"/>
  <c r="J308" i="3"/>
  <c r="K308" i="3"/>
  <c r="N308" i="3"/>
  <c r="O308" i="3"/>
  <c r="Q308" i="3"/>
  <c r="R308" i="3"/>
  <c r="U308" i="3"/>
  <c r="I309" i="3"/>
  <c r="J309" i="3"/>
  <c r="K309" i="3"/>
  <c r="N309" i="3"/>
  <c r="O309" i="3"/>
  <c r="Q309" i="3"/>
  <c r="R309" i="3"/>
  <c r="U309" i="3"/>
  <c r="I310" i="3"/>
  <c r="J310" i="3"/>
  <c r="K310" i="3"/>
  <c r="N310" i="3"/>
  <c r="O310" i="3"/>
  <c r="Q310" i="3"/>
  <c r="R310" i="3"/>
  <c r="U310" i="3"/>
  <c r="I311" i="3"/>
  <c r="J311" i="3"/>
  <c r="K311" i="3"/>
  <c r="N311" i="3"/>
  <c r="O311" i="3"/>
  <c r="Q311" i="3"/>
  <c r="R311" i="3"/>
  <c r="U311" i="3"/>
  <c r="I312" i="3"/>
  <c r="J312" i="3"/>
  <c r="K312" i="3"/>
  <c r="N312" i="3"/>
  <c r="O312" i="3"/>
  <c r="Q312" i="3"/>
  <c r="R312" i="3"/>
  <c r="U312" i="3"/>
  <c r="I313" i="3"/>
  <c r="J313" i="3"/>
  <c r="K313" i="3"/>
  <c r="N313" i="3"/>
  <c r="O313" i="3"/>
  <c r="Q313" i="3"/>
  <c r="R313" i="3"/>
  <c r="U313" i="3"/>
  <c r="I314" i="3"/>
  <c r="J314" i="3"/>
  <c r="K314" i="3"/>
  <c r="N314" i="3"/>
  <c r="O314" i="3"/>
  <c r="Q314" i="3"/>
  <c r="R314" i="3"/>
  <c r="U314" i="3"/>
  <c r="I315" i="3"/>
  <c r="J315" i="3"/>
  <c r="K315" i="3"/>
  <c r="N315" i="3"/>
  <c r="O315" i="3"/>
  <c r="Q315" i="3"/>
  <c r="R315" i="3"/>
  <c r="U315" i="3"/>
  <c r="I316" i="3"/>
  <c r="J316" i="3"/>
  <c r="K316" i="3"/>
  <c r="N316" i="3"/>
  <c r="O316" i="3"/>
  <c r="Q316" i="3"/>
  <c r="R316" i="3"/>
  <c r="U316" i="3"/>
  <c r="I317" i="3"/>
  <c r="J317" i="3"/>
  <c r="K317" i="3"/>
  <c r="N317" i="3"/>
  <c r="O317" i="3"/>
  <c r="Q317" i="3"/>
  <c r="R317" i="3"/>
  <c r="U317" i="3"/>
  <c r="I318" i="3"/>
  <c r="J318" i="3"/>
  <c r="K318" i="3"/>
  <c r="N318" i="3"/>
  <c r="O318" i="3"/>
  <c r="Q318" i="3"/>
  <c r="R318" i="3"/>
  <c r="U318" i="3"/>
  <c r="I319" i="3"/>
  <c r="J319" i="3"/>
  <c r="K319" i="3"/>
  <c r="N319" i="3"/>
  <c r="O319" i="3"/>
  <c r="Q319" i="3"/>
  <c r="R319" i="3"/>
  <c r="U319" i="3"/>
  <c r="I320" i="3"/>
  <c r="J320" i="3"/>
  <c r="K320" i="3"/>
  <c r="N320" i="3"/>
  <c r="O320" i="3"/>
  <c r="Q320" i="3"/>
  <c r="R320" i="3"/>
  <c r="U320" i="3"/>
  <c r="I321" i="3"/>
  <c r="J321" i="3"/>
  <c r="K321" i="3"/>
  <c r="N321" i="3"/>
  <c r="O321" i="3"/>
  <c r="Q321" i="3"/>
  <c r="R321" i="3"/>
  <c r="U321" i="3"/>
  <c r="I322" i="3"/>
  <c r="J322" i="3"/>
  <c r="K322" i="3"/>
  <c r="N322" i="3"/>
  <c r="O322" i="3"/>
  <c r="Q322" i="3"/>
  <c r="R322" i="3"/>
  <c r="U322" i="3"/>
  <c r="I323" i="3"/>
  <c r="J323" i="3"/>
  <c r="K323" i="3"/>
  <c r="N323" i="3"/>
  <c r="O323" i="3"/>
  <c r="Q323" i="3"/>
  <c r="R323" i="3"/>
  <c r="U323" i="3"/>
  <c r="I324" i="3"/>
  <c r="J324" i="3"/>
  <c r="K324" i="3"/>
  <c r="N324" i="3"/>
  <c r="O324" i="3"/>
  <c r="Q324" i="3"/>
  <c r="R324" i="3"/>
  <c r="U324" i="3"/>
  <c r="I325" i="3"/>
  <c r="J325" i="3"/>
  <c r="K325" i="3"/>
  <c r="N325" i="3"/>
  <c r="O325" i="3"/>
  <c r="Q325" i="3"/>
  <c r="R325" i="3"/>
  <c r="U325" i="3"/>
  <c r="I326" i="3"/>
  <c r="J326" i="3"/>
  <c r="K326" i="3"/>
  <c r="N326" i="3"/>
  <c r="O326" i="3"/>
  <c r="Q326" i="3"/>
  <c r="R326" i="3"/>
  <c r="U326" i="3"/>
  <c r="I327" i="3"/>
  <c r="J327" i="3"/>
  <c r="K327" i="3"/>
  <c r="N327" i="3"/>
  <c r="O327" i="3"/>
  <c r="Q327" i="3"/>
  <c r="R327" i="3"/>
  <c r="U327" i="3"/>
  <c r="I328" i="3"/>
  <c r="J328" i="3"/>
  <c r="K328" i="3"/>
  <c r="N328" i="3"/>
  <c r="O328" i="3"/>
  <c r="Q328" i="3"/>
  <c r="R328" i="3"/>
  <c r="U328" i="3"/>
  <c r="I329" i="3"/>
  <c r="J329" i="3"/>
  <c r="K329" i="3"/>
  <c r="N329" i="3"/>
  <c r="O329" i="3"/>
  <c r="Q329" i="3"/>
  <c r="R329" i="3"/>
  <c r="U329" i="3"/>
  <c r="I330" i="3"/>
  <c r="J330" i="3"/>
  <c r="K330" i="3"/>
  <c r="N330" i="3"/>
  <c r="O330" i="3"/>
  <c r="Q330" i="3"/>
  <c r="R330" i="3"/>
  <c r="U330" i="3"/>
  <c r="I331" i="3"/>
  <c r="J331" i="3"/>
  <c r="K331" i="3"/>
  <c r="N331" i="3"/>
  <c r="O331" i="3"/>
  <c r="Q331" i="3"/>
  <c r="R331" i="3"/>
  <c r="U331" i="3"/>
  <c r="I332" i="3"/>
  <c r="J332" i="3"/>
  <c r="K332" i="3"/>
  <c r="N332" i="3"/>
  <c r="O332" i="3"/>
  <c r="Q332" i="3"/>
  <c r="R332" i="3"/>
  <c r="U332" i="3"/>
  <c r="I333" i="3"/>
  <c r="J333" i="3"/>
  <c r="K333" i="3"/>
  <c r="N333" i="3"/>
  <c r="O333" i="3"/>
  <c r="Q333" i="3"/>
  <c r="R333" i="3"/>
  <c r="U333" i="3"/>
  <c r="I334" i="3"/>
  <c r="J334" i="3"/>
  <c r="K334" i="3"/>
  <c r="N334" i="3"/>
  <c r="O334" i="3"/>
  <c r="Q334" i="3"/>
  <c r="R334" i="3"/>
  <c r="U334" i="3"/>
  <c r="I335" i="3"/>
  <c r="J335" i="3"/>
  <c r="K335" i="3"/>
  <c r="N335" i="3"/>
  <c r="O335" i="3"/>
  <c r="Q335" i="3"/>
  <c r="R335" i="3"/>
  <c r="U335" i="3"/>
  <c r="I336" i="3"/>
  <c r="J336" i="3"/>
  <c r="K336" i="3"/>
  <c r="N336" i="3"/>
  <c r="O336" i="3"/>
  <c r="Q336" i="3"/>
  <c r="R336" i="3"/>
  <c r="U336" i="3"/>
  <c r="I337" i="3"/>
  <c r="J337" i="3"/>
  <c r="K337" i="3"/>
  <c r="N337" i="3"/>
  <c r="O337" i="3"/>
  <c r="Q337" i="3"/>
  <c r="R337" i="3"/>
  <c r="U337" i="3"/>
  <c r="I338" i="3"/>
  <c r="J338" i="3"/>
  <c r="K338" i="3"/>
  <c r="N338" i="3"/>
  <c r="O338" i="3"/>
  <c r="Q338" i="3"/>
  <c r="R338" i="3"/>
  <c r="U338" i="3"/>
  <c r="I339" i="3"/>
  <c r="J339" i="3"/>
  <c r="K339" i="3"/>
  <c r="N339" i="3"/>
  <c r="O339" i="3"/>
  <c r="Q339" i="3"/>
  <c r="R339" i="3"/>
  <c r="U339" i="3"/>
  <c r="I340" i="3"/>
  <c r="J340" i="3"/>
  <c r="K340" i="3"/>
  <c r="N340" i="3"/>
  <c r="O340" i="3"/>
  <c r="Q340" i="3"/>
  <c r="R340" i="3"/>
  <c r="U340" i="3"/>
  <c r="I341" i="3"/>
  <c r="J341" i="3"/>
  <c r="K341" i="3"/>
  <c r="N341" i="3"/>
  <c r="O341" i="3"/>
  <c r="Q341" i="3"/>
  <c r="R341" i="3"/>
  <c r="U341" i="3"/>
  <c r="I342" i="3"/>
  <c r="J342" i="3"/>
  <c r="K342" i="3"/>
  <c r="N342" i="3"/>
  <c r="O342" i="3"/>
  <c r="Q342" i="3"/>
  <c r="R342" i="3"/>
  <c r="U342" i="3"/>
  <c r="I343" i="3"/>
  <c r="J343" i="3"/>
  <c r="K343" i="3"/>
  <c r="N343" i="3"/>
  <c r="O343" i="3"/>
  <c r="Q343" i="3"/>
  <c r="R343" i="3"/>
  <c r="U343" i="3"/>
  <c r="I344" i="3"/>
  <c r="J344" i="3"/>
  <c r="K344" i="3"/>
  <c r="N344" i="3"/>
  <c r="O344" i="3"/>
  <c r="Q344" i="3"/>
  <c r="R344" i="3"/>
  <c r="U344" i="3"/>
  <c r="I345" i="3"/>
  <c r="J345" i="3"/>
  <c r="K345" i="3"/>
  <c r="N345" i="3"/>
  <c r="O345" i="3"/>
  <c r="Q345" i="3"/>
  <c r="R345" i="3"/>
  <c r="U345" i="3"/>
  <c r="I346" i="3"/>
  <c r="J346" i="3"/>
  <c r="K346" i="3"/>
  <c r="N346" i="3"/>
  <c r="O346" i="3"/>
  <c r="Q346" i="3"/>
  <c r="R346" i="3"/>
  <c r="U346" i="3"/>
  <c r="I347" i="3"/>
  <c r="J347" i="3"/>
  <c r="K347" i="3"/>
  <c r="N347" i="3"/>
  <c r="O347" i="3"/>
  <c r="Q347" i="3"/>
  <c r="R347" i="3"/>
  <c r="U347" i="3"/>
  <c r="I348" i="3"/>
  <c r="J348" i="3"/>
  <c r="K348" i="3"/>
  <c r="N348" i="3"/>
  <c r="O348" i="3"/>
  <c r="Q348" i="3"/>
  <c r="R348" i="3"/>
  <c r="U348" i="3"/>
  <c r="I349" i="3"/>
  <c r="J349" i="3"/>
  <c r="K349" i="3"/>
  <c r="N349" i="3"/>
  <c r="O349" i="3"/>
  <c r="Q349" i="3"/>
  <c r="R349" i="3"/>
  <c r="U349" i="3"/>
  <c r="I350" i="3"/>
  <c r="J350" i="3"/>
  <c r="K350" i="3"/>
  <c r="N350" i="3"/>
  <c r="O350" i="3"/>
  <c r="Q350" i="3"/>
  <c r="R350" i="3"/>
  <c r="U350" i="3"/>
  <c r="I351" i="3"/>
  <c r="J351" i="3"/>
  <c r="K351" i="3"/>
  <c r="N351" i="3"/>
  <c r="O351" i="3"/>
  <c r="Q351" i="3"/>
  <c r="R351" i="3"/>
  <c r="U351" i="3"/>
  <c r="I352" i="3"/>
  <c r="J352" i="3"/>
  <c r="K352" i="3"/>
  <c r="N352" i="3"/>
  <c r="O352" i="3"/>
  <c r="Q352" i="3"/>
  <c r="R352" i="3"/>
  <c r="U352" i="3"/>
  <c r="I353" i="3"/>
  <c r="J353" i="3"/>
  <c r="K353" i="3"/>
  <c r="N353" i="3"/>
  <c r="O353" i="3"/>
  <c r="Q353" i="3"/>
  <c r="R353" i="3"/>
  <c r="U353" i="3"/>
  <c r="I354" i="3"/>
  <c r="J354" i="3"/>
  <c r="K354" i="3"/>
  <c r="N354" i="3"/>
  <c r="O354" i="3"/>
  <c r="Q354" i="3"/>
  <c r="R354" i="3"/>
  <c r="U354" i="3"/>
  <c r="I355" i="3"/>
  <c r="J355" i="3"/>
  <c r="K355" i="3"/>
  <c r="N355" i="3"/>
  <c r="O355" i="3"/>
  <c r="Q355" i="3"/>
  <c r="R355" i="3"/>
  <c r="U355" i="3"/>
  <c r="I356" i="3"/>
  <c r="J356" i="3"/>
  <c r="K356" i="3"/>
  <c r="N356" i="3"/>
  <c r="O356" i="3"/>
  <c r="Q356" i="3"/>
  <c r="R356" i="3"/>
  <c r="U356" i="3"/>
  <c r="I357" i="3"/>
  <c r="J357" i="3"/>
  <c r="K357" i="3"/>
  <c r="N357" i="3"/>
  <c r="O357" i="3"/>
  <c r="Q357" i="3"/>
  <c r="R357" i="3"/>
  <c r="U357" i="3"/>
  <c r="I358" i="3"/>
  <c r="J358" i="3"/>
  <c r="K358" i="3"/>
  <c r="N358" i="3"/>
  <c r="O358" i="3"/>
  <c r="Q358" i="3"/>
  <c r="R358" i="3"/>
  <c r="U358" i="3"/>
  <c r="I359" i="3"/>
  <c r="J359" i="3"/>
  <c r="K359" i="3"/>
  <c r="N359" i="3"/>
  <c r="O359" i="3"/>
  <c r="Q359" i="3"/>
  <c r="R359" i="3"/>
  <c r="U359" i="3"/>
  <c r="I360" i="3"/>
  <c r="J360" i="3"/>
  <c r="K360" i="3"/>
  <c r="N360" i="3"/>
  <c r="O360" i="3"/>
  <c r="Q360" i="3"/>
  <c r="R360" i="3"/>
  <c r="U360" i="3"/>
  <c r="I361" i="3"/>
  <c r="J361" i="3"/>
  <c r="K361" i="3"/>
  <c r="N361" i="3"/>
  <c r="O361" i="3"/>
  <c r="Q361" i="3"/>
  <c r="R361" i="3"/>
  <c r="U361" i="3"/>
  <c r="I362" i="3"/>
  <c r="J362" i="3"/>
  <c r="K362" i="3"/>
  <c r="N362" i="3"/>
  <c r="O362" i="3"/>
  <c r="Q362" i="3"/>
  <c r="R362" i="3"/>
  <c r="U362" i="3"/>
  <c r="I363" i="3"/>
  <c r="J363" i="3"/>
  <c r="K363" i="3"/>
  <c r="N363" i="3"/>
  <c r="O363" i="3"/>
  <c r="Q363" i="3"/>
  <c r="R363" i="3"/>
  <c r="U363" i="3"/>
  <c r="I364" i="3"/>
  <c r="J364" i="3"/>
  <c r="K364" i="3"/>
  <c r="N364" i="3"/>
  <c r="O364" i="3"/>
  <c r="Q364" i="3"/>
  <c r="R364" i="3"/>
  <c r="U364" i="3"/>
  <c r="I365" i="3"/>
  <c r="J365" i="3"/>
  <c r="K365" i="3"/>
  <c r="N365" i="3"/>
  <c r="O365" i="3"/>
  <c r="Q365" i="3"/>
  <c r="R365" i="3"/>
  <c r="U365" i="3"/>
  <c r="I366" i="3"/>
  <c r="J366" i="3"/>
  <c r="K366" i="3"/>
  <c r="N366" i="3"/>
  <c r="O366" i="3"/>
  <c r="Q366" i="3"/>
  <c r="R366" i="3"/>
  <c r="U366" i="3"/>
  <c r="I367" i="3"/>
  <c r="J367" i="3"/>
  <c r="K367" i="3"/>
  <c r="N367" i="3"/>
  <c r="O367" i="3"/>
  <c r="Q367" i="3"/>
  <c r="R367" i="3"/>
  <c r="U367" i="3"/>
  <c r="I368" i="3"/>
  <c r="J368" i="3"/>
  <c r="K368" i="3"/>
  <c r="N368" i="3"/>
  <c r="O368" i="3"/>
  <c r="Q368" i="3"/>
  <c r="R368" i="3"/>
  <c r="U368" i="3"/>
  <c r="I369" i="3"/>
  <c r="J369" i="3"/>
  <c r="K369" i="3"/>
  <c r="N369" i="3"/>
  <c r="O369" i="3"/>
  <c r="Q369" i="3"/>
  <c r="R369" i="3"/>
  <c r="U369" i="3"/>
  <c r="I370" i="3"/>
  <c r="J370" i="3"/>
  <c r="K370" i="3"/>
  <c r="N370" i="3"/>
  <c r="O370" i="3"/>
  <c r="Q370" i="3"/>
  <c r="R370" i="3"/>
  <c r="U370" i="3"/>
  <c r="I371" i="3"/>
  <c r="J371" i="3"/>
  <c r="K371" i="3"/>
  <c r="N371" i="3"/>
  <c r="O371" i="3"/>
  <c r="Q371" i="3"/>
  <c r="R371" i="3"/>
  <c r="U371" i="3"/>
  <c r="I372" i="3"/>
  <c r="J372" i="3"/>
  <c r="K372" i="3"/>
  <c r="N372" i="3"/>
  <c r="O372" i="3"/>
  <c r="Q372" i="3"/>
  <c r="R372" i="3"/>
  <c r="U372" i="3"/>
  <c r="I373" i="3"/>
  <c r="J373" i="3"/>
  <c r="K373" i="3"/>
  <c r="N373" i="3"/>
  <c r="O373" i="3"/>
  <c r="Q373" i="3"/>
  <c r="R373" i="3"/>
  <c r="U373" i="3"/>
  <c r="I374" i="3"/>
  <c r="J374" i="3"/>
  <c r="K374" i="3"/>
  <c r="N374" i="3"/>
  <c r="O374" i="3"/>
  <c r="Q374" i="3"/>
  <c r="R374" i="3"/>
  <c r="U374" i="3"/>
  <c r="I375" i="3"/>
  <c r="J375" i="3"/>
  <c r="K375" i="3"/>
  <c r="N375" i="3"/>
  <c r="O375" i="3"/>
  <c r="Q375" i="3"/>
  <c r="R375" i="3"/>
  <c r="U375" i="3"/>
  <c r="I376" i="3"/>
  <c r="J376" i="3"/>
  <c r="K376" i="3"/>
  <c r="N376" i="3"/>
  <c r="O376" i="3"/>
  <c r="Q376" i="3"/>
  <c r="R376" i="3"/>
  <c r="U376" i="3"/>
  <c r="I377" i="3"/>
  <c r="J377" i="3"/>
  <c r="K377" i="3"/>
  <c r="N377" i="3"/>
  <c r="O377" i="3"/>
  <c r="Q377" i="3"/>
  <c r="R377" i="3"/>
  <c r="U377" i="3"/>
  <c r="I378" i="3"/>
  <c r="J378" i="3"/>
  <c r="K378" i="3"/>
  <c r="N378" i="3"/>
  <c r="O378" i="3"/>
  <c r="Q378" i="3"/>
  <c r="R378" i="3"/>
  <c r="U378" i="3"/>
  <c r="I379" i="3"/>
  <c r="J379" i="3"/>
  <c r="K379" i="3"/>
  <c r="N379" i="3"/>
  <c r="O379" i="3"/>
  <c r="Q379" i="3"/>
  <c r="R379" i="3"/>
  <c r="U379" i="3"/>
  <c r="I380" i="3"/>
  <c r="J380" i="3"/>
  <c r="K380" i="3"/>
  <c r="N380" i="3"/>
  <c r="O380" i="3"/>
  <c r="Q380" i="3"/>
  <c r="R380" i="3"/>
  <c r="U380" i="3"/>
  <c r="I381" i="3"/>
  <c r="J381" i="3"/>
  <c r="K381" i="3"/>
  <c r="N381" i="3"/>
  <c r="O381" i="3"/>
  <c r="Q381" i="3"/>
  <c r="R381" i="3"/>
  <c r="U381" i="3"/>
  <c r="I382" i="3"/>
  <c r="J382" i="3"/>
  <c r="K382" i="3"/>
  <c r="N382" i="3"/>
  <c r="O382" i="3"/>
  <c r="Q382" i="3"/>
  <c r="R382" i="3"/>
  <c r="U382" i="3"/>
  <c r="I383" i="3"/>
  <c r="J383" i="3"/>
  <c r="K383" i="3"/>
  <c r="N383" i="3"/>
  <c r="O383" i="3"/>
  <c r="Q383" i="3"/>
  <c r="R383" i="3"/>
  <c r="U383" i="3"/>
  <c r="I384" i="3"/>
  <c r="J384" i="3"/>
  <c r="K384" i="3"/>
  <c r="N384" i="3"/>
  <c r="O384" i="3"/>
  <c r="Q384" i="3"/>
  <c r="R384" i="3"/>
  <c r="U384" i="3"/>
  <c r="I385" i="3"/>
  <c r="J385" i="3"/>
  <c r="K385" i="3"/>
  <c r="N385" i="3"/>
  <c r="O385" i="3"/>
  <c r="Q385" i="3"/>
  <c r="R385" i="3"/>
  <c r="U385" i="3"/>
  <c r="I386" i="3"/>
  <c r="J386" i="3"/>
  <c r="K386" i="3"/>
  <c r="N386" i="3"/>
  <c r="O386" i="3"/>
  <c r="Q386" i="3"/>
  <c r="R386" i="3"/>
  <c r="U386" i="3"/>
  <c r="I387" i="3"/>
  <c r="J387" i="3"/>
  <c r="K387" i="3"/>
  <c r="N387" i="3"/>
  <c r="O387" i="3"/>
  <c r="Q387" i="3"/>
  <c r="R387" i="3"/>
  <c r="U387" i="3"/>
  <c r="I388" i="3"/>
  <c r="J388" i="3"/>
  <c r="K388" i="3"/>
  <c r="N388" i="3"/>
  <c r="O388" i="3"/>
  <c r="Q388" i="3"/>
  <c r="R388" i="3"/>
  <c r="U388" i="3"/>
  <c r="I389" i="3"/>
  <c r="J389" i="3"/>
  <c r="K389" i="3"/>
  <c r="N389" i="3"/>
  <c r="O389" i="3"/>
  <c r="Q389" i="3"/>
  <c r="R389" i="3"/>
  <c r="U389" i="3"/>
  <c r="I390" i="3"/>
  <c r="J390" i="3"/>
  <c r="K390" i="3"/>
  <c r="N390" i="3"/>
  <c r="O390" i="3"/>
  <c r="Q390" i="3"/>
  <c r="R390" i="3"/>
  <c r="U390" i="3"/>
  <c r="I391" i="3"/>
  <c r="J391" i="3"/>
  <c r="K391" i="3"/>
  <c r="N391" i="3"/>
  <c r="O391" i="3"/>
  <c r="Q391" i="3"/>
  <c r="R391" i="3"/>
  <c r="U391" i="3"/>
  <c r="I392" i="3"/>
  <c r="J392" i="3"/>
  <c r="K392" i="3"/>
  <c r="N392" i="3"/>
  <c r="O392" i="3"/>
  <c r="Q392" i="3"/>
  <c r="R392" i="3"/>
  <c r="U392" i="3"/>
  <c r="I393" i="3"/>
  <c r="J393" i="3"/>
  <c r="K393" i="3"/>
  <c r="N393" i="3"/>
  <c r="O393" i="3"/>
  <c r="Q393" i="3"/>
  <c r="R393" i="3"/>
  <c r="U393" i="3"/>
  <c r="I394" i="3"/>
  <c r="J394" i="3"/>
  <c r="K394" i="3"/>
  <c r="N394" i="3"/>
  <c r="O394" i="3"/>
  <c r="Q394" i="3"/>
  <c r="R394" i="3"/>
  <c r="U394" i="3"/>
  <c r="I395" i="3"/>
  <c r="J395" i="3"/>
  <c r="K395" i="3"/>
  <c r="N395" i="3"/>
  <c r="O395" i="3"/>
  <c r="Q395" i="3"/>
  <c r="R395" i="3"/>
  <c r="U395" i="3"/>
  <c r="I396" i="3"/>
  <c r="J396" i="3"/>
  <c r="K396" i="3"/>
  <c r="N396" i="3"/>
  <c r="O396" i="3"/>
  <c r="Q396" i="3"/>
  <c r="R396" i="3"/>
  <c r="U396" i="3"/>
  <c r="I397" i="3"/>
  <c r="J397" i="3"/>
  <c r="K397" i="3"/>
  <c r="N397" i="3"/>
  <c r="O397" i="3"/>
  <c r="Q397" i="3"/>
  <c r="R397" i="3"/>
  <c r="U397" i="3"/>
  <c r="I398" i="3"/>
  <c r="J398" i="3"/>
  <c r="K398" i="3"/>
  <c r="N398" i="3"/>
  <c r="O398" i="3"/>
  <c r="Q398" i="3"/>
  <c r="R398" i="3"/>
  <c r="U398" i="3"/>
  <c r="I399" i="3"/>
  <c r="J399" i="3"/>
  <c r="K399" i="3"/>
  <c r="N399" i="3"/>
  <c r="O399" i="3"/>
  <c r="Q399" i="3"/>
  <c r="R399" i="3"/>
  <c r="U399" i="3"/>
  <c r="I400" i="3"/>
  <c r="J400" i="3"/>
  <c r="K400" i="3"/>
  <c r="N400" i="3"/>
  <c r="O400" i="3"/>
  <c r="Q400" i="3"/>
  <c r="R400" i="3"/>
  <c r="U400" i="3"/>
  <c r="I401" i="3"/>
  <c r="J401" i="3"/>
  <c r="K401" i="3"/>
  <c r="N401" i="3"/>
  <c r="O401" i="3"/>
  <c r="Q401" i="3"/>
  <c r="R401" i="3"/>
  <c r="U401" i="3"/>
  <c r="I402" i="3"/>
  <c r="J402" i="3"/>
  <c r="K402" i="3"/>
  <c r="N402" i="3"/>
  <c r="O402" i="3"/>
  <c r="Q402" i="3"/>
  <c r="R402" i="3"/>
  <c r="U402" i="3"/>
  <c r="I403" i="3"/>
  <c r="J403" i="3"/>
  <c r="K403" i="3"/>
  <c r="N403" i="3"/>
  <c r="O403" i="3"/>
  <c r="Q403" i="3"/>
  <c r="R403" i="3"/>
  <c r="U403" i="3"/>
  <c r="I404" i="3"/>
  <c r="J404" i="3"/>
  <c r="K404" i="3"/>
  <c r="N404" i="3"/>
  <c r="O404" i="3"/>
  <c r="Q404" i="3"/>
  <c r="R404" i="3"/>
  <c r="U404" i="3"/>
  <c r="I405" i="3"/>
  <c r="J405" i="3"/>
  <c r="K405" i="3"/>
  <c r="N405" i="3"/>
  <c r="O405" i="3"/>
  <c r="Q405" i="3"/>
  <c r="R405" i="3"/>
  <c r="U405" i="3"/>
  <c r="I406" i="3"/>
  <c r="J406" i="3"/>
  <c r="K406" i="3"/>
  <c r="N406" i="3"/>
  <c r="O406" i="3"/>
  <c r="Q406" i="3"/>
  <c r="R406" i="3"/>
  <c r="U406" i="3"/>
  <c r="I407" i="3"/>
  <c r="J407" i="3"/>
  <c r="K407" i="3"/>
  <c r="N407" i="3"/>
  <c r="O407" i="3"/>
  <c r="Q407" i="3"/>
  <c r="R407" i="3"/>
  <c r="U407" i="3"/>
  <c r="I408" i="3"/>
  <c r="J408" i="3"/>
  <c r="K408" i="3"/>
  <c r="N408" i="3"/>
  <c r="O408" i="3"/>
  <c r="Q408" i="3"/>
  <c r="R408" i="3"/>
  <c r="U408" i="3"/>
  <c r="I409" i="3"/>
  <c r="J409" i="3"/>
  <c r="K409" i="3"/>
  <c r="N409" i="3"/>
  <c r="O409" i="3"/>
  <c r="Q409" i="3"/>
  <c r="R409" i="3"/>
  <c r="U409" i="3"/>
  <c r="I410" i="3"/>
  <c r="J410" i="3"/>
  <c r="K410" i="3"/>
  <c r="N410" i="3"/>
  <c r="O410" i="3"/>
  <c r="Q410" i="3"/>
  <c r="R410" i="3"/>
  <c r="U410" i="3"/>
  <c r="I411" i="3"/>
  <c r="J411" i="3"/>
  <c r="K411" i="3"/>
  <c r="N411" i="3"/>
  <c r="O411" i="3"/>
  <c r="Q411" i="3"/>
  <c r="R411" i="3"/>
  <c r="U411" i="3"/>
  <c r="I412" i="3"/>
  <c r="J412" i="3"/>
  <c r="K412" i="3"/>
  <c r="N412" i="3"/>
  <c r="O412" i="3"/>
  <c r="Q412" i="3"/>
  <c r="R412" i="3"/>
  <c r="U412" i="3"/>
  <c r="I413" i="3"/>
  <c r="J413" i="3"/>
  <c r="K413" i="3"/>
  <c r="N413" i="3"/>
  <c r="O413" i="3"/>
  <c r="Q413" i="3"/>
  <c r="R413" i="3"/>
  <c r="U413" i="3"/>
  <c r="I414" i="3"/>
  <c r="J414" i="3"/>
  <c r="K414" i="3"/>
  <c r="N414" i="3"/>
  <c r="O414" i="3"/>
  <c r="Q414" i="3"/>
  <c r="R414" i="3"/>
  <c r="U414" i="3"/>
  <c r="I415" i="3"/>
  <c r="J415" i="3"/>
  <c r="K415" i="3"/>
  <c r="N415" i="3"/>
  <c r="O415" i="3"/>
  <c r="Q415" i="3"/>
  <c r="R415" i="3"/>
  <c r="U415" i="3"/>
  <c r="I416" i="3"/>
  <c r="J416" i="3"/>
  <c r="K416" i="3"/>
  <c r="N416" i="3"/>
  <c r="O416" i="3"/>
  <c r="Q416" i="3"/>
  <c r="R416" i="3"/>
  <c r="U416" i="3"/>
  <c r="I417" i="3"/>
  <c r="J417" i="3"/>
  <c r="K417" i="3"/>
  <c r="N417" i="3"/>
  <c r="O417" i="3"/>
  <c r="Q417" i="3"/>
  <c r="R417" i="3"/>
  <c r="U417" i="3"/>
  <c r="I418" i="3"/>
  <c r="J418" i="3"/>
  <c r="K418" i="3"/>
  <c r="N418" i="3"/>
  <c r="O418" i="3"/>
  <c r="Q418" i="3"/>
  <c r="R418" i="3"/>
  <c r="U418" i="3"/>
  <c r="I419" i="3"/>
  <c r="J419" i="3"/>
  <c r="K419" i="3"/>
  <c r="N419" i="3"/>
  <c r="O419" i="3"/>
  <c r="Q419" i="3"/>
  <c r="R419" i="3"/>
  <c r="U419" i="3"/>
  <c r="I420" i="3"/>
  <c r="J420" i="3"/>
  <c r="K420" i="3"/>
  <c r="N420" i="3"/>
  <c r="O420" i="3"/>
  <c r="Q420" i="3"/>
  <c r="R420" i="3"/>
  <c r="U420" i="3"/>
  <c r="I421" i="3"/>
  <c r="J421" i="3"/>
  <c r="K421" i="3"/>
  <c r="N421" i="3"/>
  <c r="O421" i="3"/>
  <c r="Q421" i="3"/>
  <c r="R421" i="3"/>
  <c r="U421" i="3"/>
  <c r="I422" i="3"/>
  <c r="J422" i="3"/>
  <c r="K422" i="3"/>
  <c r="N422" i="3"/>
  <c r="O422" i="3"/>
  <c r="Q422" i="3"/>
  <c r="R422" i="3"/>
  <c r="U422" i="3"/>
  <c r="I423" i="3"/>
  <c r="J423" i="3"/>
  <c r="K423" i="3"/>
  <c r="N423" i="3"/>
  <c r="O423" i="3"/>
  <c r="Q423" i="3"/>
  <c r="R423" i="3"/>
  <c r="U423" i="3"/>
  <c r="I424" i="3"/>
  <c r="J424" i="3"/>
  <c r="K424" i="3"/>
  <c r="N424" i="3"/>
  <c r="O424" i="3"/>
  <c r="Q424" i="3"/>
  <c r="R424" i="3"/>
  <c r="U424" i="3"/>
  <c r="I425" i="3"/>
  <c r="J425" i="3"/>
  <c r="K425" i="3"/>
  <c r="N425" i="3"/>
  <c r="O425" i="3"/>
  <c r="Q425" i="3"/>
  <c r="R425" i="3"/>
  <c r="U425" i="3"/>
  <c r="I426" i="3"/>
  <c r="J426" i="3"/>
  <c r="K426" i="3"/>
  <c r="N426" i="3"/>
  <c r="O426" i="3"/>
  <c r="Q426" i="3"/>
  <c r="R426" i="3"/>
  <c r="U426" i="3"/>
  <c r="I427" i="3"/>
  <c r="J427" i="3"/>
  <c r="K427" i="3"/>
  <c r="N427" i="3"/>
  <c r="O427" i="3"/>
  <c r="Q427" i="3"/>
  <c r="R427" i="3"/>
  <c r="U427" i="3"/>
  <c r="I428" i="3"/>
  <c r="J428" i="3"/>
  <c r="K428" i="3"/>
  <c r="N428" i="3"/>
  <c r="O428" i="3"/>
  <c r="Q428" i="3"/>
  <c r="R428" i="3"/>
  <c r="U428" i="3"/>
  <c r="I429" i="3"/>
  <c r="J429" i="3"/>
  <c r="K429" i="3"/>
  <c r="N429" i="3"/>
  <c r="O429" i="3"/>
  <c r="Q429" i="3"/>
  <c r="R429" i="3"/>
  <c r="U429" i="3"/>
  <c r="I430" i="3"/>
  <c r="J430" i="3"/>
  <c r="K430" i="3"/>
  <c r="N430" i="3"/>
  <c r="O430" i="3"/>
  <c r="Q430" i="3"/>
  <c r="R430" i="3"/>
  <c r="U430" i="3"/>
  <c r="I431" i="3"/>
  <c r="J431" i="3"/>
  <c r="K431" i="3"/>
  <c r="N431" i="3"/>
  <c r="O431" i="3"/>
  <c r="Q431" i="3"/>
  <c r="R431" i="3"/>
  <c r="U431" i="3"/>
  <c r="I432" i="3"/>
  <c r="J432" i="3"/>
  <c r="K432" i="3"/>
  <c r="N432" i="3"/>
  <c r="O432" i="3"/>
  <c r="Q432" i="3"/>
  <c r="R432" i="3"/>
  <c r="U432" i="3"/>
  <c r="I433" i="3"/>
  <c r="J433" i="3"/>
  <c r="K433" i="3"/>
  <c r="N433" i="3"/>
  <c r="O433" i="3"/>
  <c r="Q433" i="3"/>
  <c r="R433" i="3"/>
  <c r="U433" i="3"/>
  <c r="I434" i="3"/>
  <c r="J434" i="3"/>
  <c r="K434" i="3"/>
  <c r="N434" i="3"/>
  <c r="O434" i="3"/>
  <c r="Q434" i="3"/>
  <c r="R434" i="3"/>
  <c r="U434" i="3"/>
  <c r="I435" i="3"/>
  <c r="J435" i="3"/>
  <c r="K435" i="3"/>
  <c r="N435" i="3"/>
  <c r="O435" i="3"/>
  <c r="Q435" i="3"/>
  <c r="R435" i="3"/>
  <c r="U435" i="3"/>
  <c r="I436" i="3"/>
  <c r="J436" i="3"/>
  <c r="K436" i="3"/>
  <c r="N436" i="3"/>
  <c r="O436" i="3"/>
  <c r="Q436" i="3"/>
  <c r="R436" i="3"/>
  <c r="U436" i="3"/>
  <c r="I437" i="3"/>
  <c r="J437" i="3"/>
  <c r="K437" i="3"/>
  <c r="N437" i="3"/>
  <c r="O437" i="3"/>
  <c r="Q437" i="3"/>
  <c r="R437" i="3"/>
  <c r="U437" i="3"/>
  <c r="I438" i="3"/>
  <c r="J438" i="3"/>
  <c r="K438" i="3"/>
  <c r="N438" i="3"/>
  <c r="O438" i="3"/>
  <c r="Q438" i="3"/>
  <c r="R438" i="3"/>
  <c r="U438" i="3"/>
  <c r="I439" i="3"/>
  <c r="J439" i="3"/>
  <c r="K439" i="3"/>
  <c r="N439" i="3"/>
  <c r="O439" i="3"/>
  <c r="Q439" i="3"/>
  <c r="R439" i="3"/>
  <c r="U439" i="3"/>
  <c r="I440" i="3"/>
  <c r="J440" i="3"/>
  <c r="K440" i="3"/>
  <c r="N440" i="3"/>
  <c r="O440" i="3"/>
  <c r="Q440" i="3"/>
  <c r="R440" i="3"/>
  <c r="U440" i="3"/>
  <c r="I441" i="3"/>
  <c r="J441" i="3"/>
  <c r="K441" i="3"/>
  <c r="N441" i="3"/>
  <c r="O441" i="3"/>
  <c r="Q441" i="3"/>
  <c r="R441" i="3"/>
  <c r="U441" i="3"/>
  <c r="I442" i="3"/>
  <c r="J442" i="3"/>
  <c r="K442" i="3"/>
  <c r="N442" i="3"/>
  <c r="O442" i="3"/>
  <c r="Q442" i="3"/>
  <c r="R442" i="3"/>
  <c r="U442" i="3"/>
  <c r="I443" i="3"/>
  <c r="J443" i="3"/>
  <c r="K443" i="3"/>
  <c r="N443" i="3"/>
  <c r="O443" i="3"/>
  <c r="Q443" i="3"/>
  <c r="R443" i="3"/>
  <c r="U443" i="3"/>
  <c r="I444" i="3"/>
  <c r="J444" i="3"/>
  <c r="K444" i="3"/>
  <c r="N444" i="3"/>
  <c r="O444" i="3"/>
  <c r="Q444" i="3"/>
  <c r="R444" i="3"/>
  <c r="U444" i="3"/>
  <c r="I445" i="3"/>
  <c r="J445" i="3"/>
  <c r="K445" i="3"/>
  <c r="N445" i="3"/>
  <c r="O445" i="3"/>
  <c r="Q445" i="3"/>
  <c r="R445" i="3"/>
  <c r="U445" i="3"/>
  <c r="I446" i="3"/>
  <c r="J446" i="3"/>
  <c r="K446" i="3"/>
  <c r="N446" i="3"/>
  <c r="O446" i="3"/>
  <c r="Q446" i="3"/>
  <c r="R446" i="3"/>
  <c r="U446" i="3"/>
  <c r="I447" i="3"/>
  <c r="J447" i="3"/>
  <c r="K447" i="3"/>
  <c r="N447" i="3"/>
  <c r="O447" i="3"/>
  <c r="Q447" i="3"/>
  <c r="R447" i="3"/>
  <c r="U447" i="3"/>
  <c r="I448" i="3"/>
  <c r="J448" i="3"/>
  <c r="K448" i="3"/>
  <c r="N448" i="3"/>
  <c r="O448" i="3"/>
  <c r="Q448" i="3"/>
  <c r="R448" i="3"/>
  <c r="U448" i="3"/>
  <c r="I449" i="3"/>
  <c r="J449" i="3"/>
  <c r="K449" i="3"/>
  <c r="N449" i="3"/>
  <c r="O449" i="3"/>
  <c r="Q449" i="3"/>
  <c r="R449" i="3"/>
  <c r="U449" i="3"/>
  <c r="I450" i="3"/>
  <c r="J450" i="3"/>
  <c r="K450" i="3"/>
  <c r="N450" i="3"/>
  <c r="O450" i="3"/>
  <c r="Q450" i="3"/>
  <c r="R450" i="3"/>
  <c r="U450" i="3"/>
  <c r="I451" i="3"/>
  <c r="J451" i="3"/>
  <c r="K451" i="3"/>
  <c r="N451" i="3"/>
  <c r="O451" i="3"/>
  <c r="Q451" i="3"/>
  <c r="R451" i="3"/>
  <c r="U451" i="3"/>
  <c r="I452" i="3"/>
  <c r="J452" i="3"/>
  <c r="K452" i="3"/>
  <c r="N452" i="3"/>
  <c r="O452" i="3"/>
  <c r="Q452" i="3"/>
  <c r="R452" i="3"/>
  <c r="U452" i="3"/>
  <c r="I453" i="3"/>
  <c r="J453" i="3"/>
  <c r="K453" i="3"/>
  <c r="N453" i="3"/>
  <c r="O453" i="3"/>
  <c r="Q453" i="3"/>
  <c r="R453" i="3"/>
  <c r="U453" i="3"/>
  <c r="I454" i="3"/>
  <c r="J454" i="3"/>
  <c r="K454" i="3"/>
  <c r="N454" i="3"/>
  <c r="O454" i="3"/>
  <c r="Q454" i="3"/>
  <c r="R454" i="3"/>
  <c r="U454" i="3"/>
  <c r="I455" i="3"/>
  <c r="J455" i="3"/>
  <c r="K455" i="3"/>
  <c r="N455" i="3"/>
  <c r="O455" i="3"/>
  <c r="Q455" i="3"/>
  <c r="R455" i="3"/>
  <c r="U455" i="3"/>
  <c r="I456" i="3"/>
  <c r="J456" i="3"/>
  <c r="K456" i="3"/>
  <c r="N456" i="3"/>
  <c r="O456" i="3"/>
  <c r="Q456" i="3"/>
  <c r="R456" i="3"/>
  <c r="U456" i="3"/>
  <c r="I457" i="3"/>
  <c r="J457" i="3"/>
  <c r="K457" i="3"/>
  <c r="N457" i="3"/>
  <c r="O457" i="3"/>
  <c r="Q457" i="3"/>
  <c r="R457" i="3"/>
  <c r="U457" i="3"/>
  <c r="I458" i="3"/>
  <c r="J458" i="3"/>
  <c r="K458" i="3"/>
  <c r="N458" i="3"/>
  <c r="O458" i="3"/>
  <c r="Q458" i="3"/>
  <c r="R458" i="3"/>
  <c r="U458" i="3"/>
  <c r="I459" i="3"/>
  <c r="J459" i="3"/>
  <c r="K459" i="3"/>
  <c r="N459" i="3"/>
  <c r="O459" i="3"/>
  <c r="Q459" i="3"/>
  <c r="R459" i="3"/>
  <c r="U459" i="3"/>
  <c r="I460" i="3"/>
  <c r="J460" i="3"/>
  <c r="K460" i="3"/>
  <c r="N460" i="3"/>
  <c r="O460" i="3"/>
  <c r="Q460" i="3"/>
  <c r="R460" i="3"/>
  <c r="U460" i="3"/>
  <c r="I461" i="3"/>
  <c r="J461" i="3"/>
  <c r="K461" i="3"/>
  <c r="N461" i="3"/>
  <c r="O461" i="3"/>
  <c r="Q461" i="3"/>
  <c r="R461" i="3"/>
  <c r="U461" i="3"/>
  <c r="I462" i="3"/>
  <c r="J462" i="3"/>
  <c r="K462" i="3"/>
  <c r="N462" i="3"/>
  <c r="O462" i="3"/>
  <c r="Q462" i="3"/>
  <c r="R462" i="3"/>
  <c r="U462" i="3"/>
  <c r="I463" i="3"/>
  <c r="J463" i="3"/>
  <c r="K463" i="3"/>
  <c r="N463" i="3"/>
  <c r="O463" i="3"/>
  <c r="Q463" i="3"/>
  <c r="R463" i="3"/>
  <c r="U463" i="3"/>
  <c r="I464" i="3"/>
  <c r="J464" i="3"/>
  <c r="K464" i="3"/>
  <c r="N464" i="3"/>
  <c r="O464" i="3"/>
  <c r="Q464" i="3"/>
  <c r="R464" i="3"/>
  <c r="U464" i="3"/>
  <c r="I465" i="3"/>
  <c r="J465" i="3"/>
  <c r="K465" i="3"/>
  <c r="N465" i="3"/>
  <c r="O465" i="3"/>
  <c r="Q465" i="3"/>
  <c r="R465" i="3"/>
  <c r="U465" i="3"/>
  <c r="I466" i="3"/>
  <c r="J466" i="3"/>
  <c r="K466" i="3"/>
  <c r="N466" i="3"/>
  <c r="O466" i="3"/>
  <c r="Q466" i="3"/>
  <c r="R466" i="3"/>
  <c r="U466" i="3"/>
  <c r="I467" i="3"/>
  <c r="J467" i="3"/>
  <c r="K467" i="3"/>
  <c r="N467" i="3"/>
  <c r="O467" i="3"/>
  <c r="Q467" i="3"/>
  <c r="R467" i="3"/>
  <c r="U467" i="3"/>
  <c r="I468" i="3"/>
  <c r="J468" i="3"/>
  <c r="K468" i="3"/>
  <c r="N468" i="3"/>
  <c r="O468" i="3"/>
  <c r="Q468" i="3"/>
  <c r="R468" i="3"/>
  <c r="U468" i="3"/>
  <c r="I469" i="3"/>
  <c r="J469" i="3"/>
  <c r="K469" i="3"/>
  <c r="N469" i="3"/>
  <c r="O469" i="3"/>
  <c r="Q469" i="3"/>
  <c r="R469" i="3"/>
  <c r="U469" i="3"/>
  <c r="I470" i="3"/>
  <c r="J470" i="3"/>
  <c r="K470" i="3"/>
  <c r="N470" i="3"/>
  <c r="O470" i="3"/>
  <c r="Q470" i="3"/>
  <c r="R470" i="3"/>
  <c r="U470" i="3"/>
  <c r="I471" i="3"/>
  <c r="J471" i="3"/>
  <c r="K471" i="3"/>
  <c r="N471" i="3"/>
  <c r="O471" i="3"/>
  <c r="Q471" i="3"/>
  <c r="R471" i="3"/>
  <c r="U471" i="3"/>
  <c r="I472" i="3"/>
  <c r="J472" i="3"/>
  <c r="K472" i="3"/>
  <c r="N472" i="3"/>
  <c r="O472" i="3"/>
  <c r="Q472" i="3"/>
  <c r="R472" i="3"/>
  <c r="U472" i="3"/>
  <c r="I473" i="3"/>
  <c r="J473" i="3"/>
  <c r="K473" i="3"/>
  <c r="N473" i="3"/>
  <c r="O473" i="3"/>
  <c r="Q473" i="3"/>
  <c r="R473" i="3"/>
  <c r="U473" i="3"/>
  <c r="I474" i="3"/>
  <c r="J474" i="3"/>
  <c r="K474" i="3"/>
  <c r="N474" i="3"/>
  <c r="O474" i="3"/>
  <c r="Q474" i="3"/>
  <c r="R474" i="3"/>
  <c r="U474" i="3"/>
  <c r="U2" i="3"/>
  <c r="R2" i="3"/>
  <c r="Q2" i="3"/>
  <c r="O2" i="3"/>
  <c r="N2" i="3"/>
  <c r="K2" i="3"/>
  <c r="J2" i="3"/>
  <c r="I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2" i="3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3" i="2"/>
  <c r="AU475" i="1"/>
  <c r="U475" i="1"/>
  <c r="T475" i="1"/>
  <c r="BA475" i="1" s="1"/>
  <c r="H475" i="1"/>
  <c r="I475" i="1" s="1"/>
  <c r="AU474" i="1"/>
  <c r="BA474" i="1" s="1"/>
  <c r="U474" i="1"/>
  <c r="T474" i="1"/>
  <c r="H474" i="1"/>
  <c r="I474" i="1" s="1"/>
  <c r="AU473" i="1"/>
  <c r="U473" i="1"/>
  <c r="T473" i="1"/>
  <c r="BA473" i="1" s="1"/>
  <c r="H473" i="1"/>
  <c r="I473" i="1" s="1"/>
  <c r="AU472" i="1"/>
  <c r="BA472" i="1" s="1"/>
  <c r="U472" i="1"/>
  <c r="T472" i="1"/>
  <c r="H472" i="1"/>
  <c r="I472" i="1" s="1"/>
  <c r="AU471" i="1"/>
  <c r="U471" i="1"/>
  <c r="T471" i="1"/>
  <c r="BA471" i="1" s="1"/>
  <c r="H471" i="1"/>
  <c r="I471" i="1" s="1"/>
  <c r="AV470" i="1"/>
  <c r="AU470" i="1"/>
  <c r="U470" i="1"/>
  <c r="T470" i="1"/>
  <c r="BA470" i="1" s="1"/>
  <c r="I470" i="1"/>
  <c r="H470" i="1"/>
  <c r="AU469" i="1"/>
  <c r="BA469" i="1" s="1"/>
  <c r="U469" i="1"/>
  <c r="T469" i="1"/>
  <c r="H469" i="1"/>
  <c r="I469" i="1" s="1"/>
  <c r="BA468" i="1"/>
  <c r="AU468" i="1"/>
  <c r="U468" i="1"/>
  <c r="T468" i="1"/>
  <c r="I468" i="1"/>
  <c r="H468" i="1"/>
  <c r="AU467" i="1"/>
  <c r="BA467" i="1" s="1"/>
  <c r="U467" i="1"/>
  <c r="T467" i="1"/>
  <c r="H467" i="1"/>
  <c r="I467" i="1" s="1"/>
  <c r="BA466" i="1"/>
  <c r="AU466" i="1"/>
  <c r="U466" i="1"/>
  <c r="T466" i="1"/>
  <c r="I466" i="1"/>
  <c r="H466" i="1"/>
  <c r="AU465" i="1"/>
  <c r="BA465" i="1" s="1"/>
  <c r="U465" i="1"/>
  <c r="T465" i="1"/>
  <c r="H465" i="1"/>
  <c r="I465" i="1" s="1"/>
  <c r="BA464" i="1"/>
  <c r="AU464" i="1"/>
  <c r="U464" i="1"/>
  <c r="T464" i="1"/>
  <c r="I464" i="1"/>
  <c r="H464" i="1"/>
  <c r="AV463" i="1"/>
  <c r="AU463" i="1"/>
  <c r="W463" i="1"/>
  <c r="U463" i="1"/>
  <c r="T463" i="1"/>
  <c r="BA463" i="1" s="1"/>
  <c r="I463" i="1"/>
  <c r="H463" i="1"/>
  <c r="AU462" i="1"/>
  <c r="BA462" i="1" s="1"/>
  <c r="U462" i="1"/>
  <c r="T462" i="1"/>
  <c r="H462" i="1"/>
  <c r="I462" i="1" s="1"/>
  <c r="BA461" i="1"/>
  <c r="AU461" i="1"/>
  <c r="U461" i="1"/>
  <c r="T461" i="1"/>
  <c r="I461" i="1"/>
  <c r="H461" i="1"/>
  <c r="AU460" i="1"/>
  <c r="BA460" i="1" s="1"/>
  <c r="U460" i="1"/>
  <c r="T460" i="1"/>
  <c r="H460" i="1"/>
  <c r="I460" i="1" s="1"/>
  <c r="BA459" i="1"/>
  <c r="AU459" i="1"/>
  <c r="U459" i="1"/>
  <c r="T459" i="1"/>
  <c r="I459" i="1"/>
  <c r="H459" i="1"/>
  <c r="AU458" i="1"/>
  <c r="U458" i="1"/>
  <c r="T458" i="1"/>
  <c r="BA458" i="1" s="1"/>
  <c r="H458" i="1"/>
  <c r="I458" i="1" s="1"/>
  <c r="BA457" i="1"/>
  <c r="AU457" i="1"/>
  <c r="U457" i="1"/>
  <c r="T457" i="1"/>
  <c r="I457" i="1"/>
  <c r="H457" i="1"/>
  <c r="AU456" i="1"/>
  <c r="U456" i="1"/>
  <c r="T456" i="1"/>
  <c r="BA456" i="1" s="1"/>
  <c r="H456" i="1"/>
  <c r="I456" i="1" s="1"/>
  <c r="BA455" i="1"/>
  <c r="AU455" i="1"/>
  <c r="U455" i="1"/>
  <c r="T455" i="1"/>
  <c r="I455" i="1"/>
  <c r="H455" i="1"/>
  <c r="AV454" i="1"/>
  <c r="AU454" i="1"/>
  <c r="W454" i="1"/>
  <c r="U454" i="1" s="1"/>
  <c r="T454" i="1"/>
  <c r="BA454" i="1" s="1"/>
  <c r="I454" i="1"/>
  <c r="H454" i="1"/>
  <c r="AU453" i="1"/>
  <c r="U453" i="1"/>
  <c r="T453" i="1"/>
  <c r="BA453" i="1" s="1"/>
  <c r="H453" i="1"/>
  <c r="I453" i="1" s="1"/>
  <c r="BA452" i="1"/>
  <c r="AU452" i="1"/>
  <c r="U452" i="1"/>
  <c r="T452" i="1"/>
  <c r="I452" i="1"/>
  <c r="H452" i="1"/>
  <c r="AU451" i="1"/>
  <c r="U451" i="1"/>
  <c r="T451" i="1"/>
  <c r="BA451" i="1" s="1"/>
  <c r="H451" i="1"/>
  <c r="I451" i="1" s="1"/>
  <c r="BA450" i="1"/>
  <c r="AU450" i="1"/>
  <c r="U450" i="1"/>
  <c r="T450" i="1"/>
  <c r="I450" i="1"/>
  <c r="H450" i="1"/>
  <c r="AU449" i="1"/>
  <c r="U449" i="1"/>
  <c r="T449" i="1"/>
  <c r="BA449" i="1" s="1"/>
  <c r="H449" i="1"/>
  <c r="I449" i="1" s="1"/>
  <c r="BA448" i="1"/>
  <c r="AU448" i="1"/>
  <c r="U448" i="1"/>
  <c r="T448" i="1"/>
  <c r="I448" i="1"/>
  <c r="H448" i="1"/>
  <c r="AU447" i="1"/>
  <c r="U447" i="1"/>
  <c r="T447" i="1"/>
  <c r="BA447" i="1" s="1"/>
  <c r="H447" i="1"/>
  <c r="I447" i="1" s="1"/>
  <c r="BA446" i="1"/>
  <c r="AU446" i="1"/>
  <c r="U446" i="1"/>
  <c r="T446" i="1"/>
  <c r="I446" i="1"/>
  <c r="H446" i="1"/>
  <c r="AU445" i="1"/>
  <c r="U445" i="1"/>
  <c r="T445" i="1"/>
  <c r="BA445" i="1" s="1"/>
  <c r="H445" i="1"/>
  <c r="I445" i="1" s="1"/>
  <c r="BA444" i="1"/>
  <c r="AU444" i="1"/>
  <c r="U444" i="1"/>
  <c r="T444" i="1"/>
  <c r="I444" i="1"/>
  <c r="H444" i="1"/>
  <c r="AU443" i="1"/>
  <c r="U443" i="1"/>
  <c r="T443" i="1"/>
  <c r="BA443" i="1" s="1"/>
  <c r="H443" i="1"/>
  <c r="I443" i="1" s="1"/>
  <c r="BA442" i="1"/>
  <c r="AU442" i="1"/>
  <c r="U442" i="1"/>
  <c r="T442" i="1"/>
  <c r="I442" i="1"/>
  <c r="H442" i="1"/>
  <c r="AU441" i="1"/>
  <c r="U441" i="1"/>
  <c r="T441" i="1"/>
  <c r="BA441" i="1" s="1"/>
  <c r="H441" i="1"/>
  <c r="I441" i="1" s="1"/>
  <c r="AV440" i="1"/>
  <c r="AU440" i="1"/>
  <c r="U440" i="1"/>
  <c r="T440" i="1"/>
  <c r="BA440" i="1" s="1"/>
  <c r="I440" i="1"/>
  <c r="H440" i="1"/>
  <c r="AU439" i="1"/>
  <c r="BA439" i="1" s="1"/>
  <c r="U439" i="1"/>
  <c r="T439" i="1"/>
  <c r="H439" i="1"/>
  <c r="I439" i="1" s="1"/>
  <c r="AU438" i="1"/>
  <c r="U438" i="1"/>
  <c r="T438" i="1"/>
  <c r="BA438" i="1" s="1"/>
  <c r="I438" i="1"/>
  <c r="H438" i="1"/>
  <c r="AV437" i="1"/>
  <c r="AU437" i="1"/>
  <c r="U437" i="1"/>
  <c r="T437" i="1"/>
  <c r="I437" i="1"/>
  <c r="H437" i="1"/>
  <c r="AV436" i="1"/>
  <c r="AU436" i="1"/>
  <c r="U436" i="1"/>
  <c r="T436" i="1"/>
  <c r="H436" i="1"/>
  <c r="I436" i="1" s="1"/>
  <c r="AV435" i="1"/>
  <c r="AU435" i="1"/>
  <c r="U435" i="1"/>
  <c r="T435" i="1"/>
  <c r="BA435" i="1" s="1"/>
  <c r="H435" i="1"/>
  <c r="I435" i="1" s="1"/>
  <c r="AV434" i="1"/>
  <c r="AU434" i="1"/>
  <c r="U434" i="1"/>
  <c r="T434" i="1"/>
  <c r="BA434" i="1" s="1"/>
  <c r="I434" i="1"/>
  <c r="H434" i="1"/>
  <c r="AV433" i="1"/>
  <c r="AU433" i="1"/>
  <c r="U433" i="1"/>
  <c r="T433" i="1"/>
  <c r="BA433" i="1" s="1"/>
  <c r="I433" i="1"/>
  <c r="H433" i="1"/>
  <c r="AV432" i="1"/>
  <c r="AU432" i="1"/>
  <c r="U432" i="1"/>
  <c r="T432" i="1"/>
  <c r="H432" i="1"/>
  <c r="I432" i="1" s="1"/>
  <c r="AV431" i="1"/>
  <c r="AU431" i="1"/>
  <c r="U431" i="1"/>
  <c r="T431" i="1"/>
  <c r="BA431" i="1" s="1"/>
  <c r="H431" i="1"/>
  <c r="I431" i="1" s="1"/>
  <c r="AV430" i="1"/>
  <c r="AU430" i="1"/>
  <c r="U430" i="1"/>
  <c r="T430" i="1"/>
  <c r="BA430" i="1" s="1"/>
  <c r="I430" i="1"/>
  <c r="H430" i="1"/>
  <c r="AV429" i="1"/>
  <c r="AU429" i="1"/>
  <c r="U429" i="1"/>
  <c r="T429" i="1"/>
  <c r="I429" i="1"/>
  <c r="H429" i="1"/>
  <c r="AC428" i="1"/>
  <c r="AU428" i="1" s="1"/>
  <c r="U428" i="1"/>
  <c r="T428" i="1"/>
  <c r="BA428" i="1" s="1"/>
  <c r="H428" i="1"/>
  <c r="I428" i="1" s="1"/>
  <c r="AV427" i="1"/>
  <c r="AU427" i="1"/>
  <c r="U427" i="1"/>
  <c r="T427" i="1"/>
  <c r="BA427" i="1" s="1"/>
  <c r="H427" i="1"/>
  <c r="I427" i="1" s="1"/>
  <c r="AV426" i="1"/>
  <c r="AU426" i="1"/>
  <c r="U426" i="1"/>
  <c r="T426" i="1"/>
  <c r="BA426" i="1" s="1"/>
  <c r="I426" i="1"/>
  <c r="H426" i="1"/>
  <c r="AU425" i="1"/>
  <c r="BA425" i="1" s="1"/>
  <c r="U425" i="1"/>
  <c r="T425" i="1"/>
  <c r="H425" i="1"/>
  <c r="I425" i="1" s="1"/>
  <c r="AU424" i="1"/>
  <c r="U424" i="1"/>
  <c r="T424" i="1"/>
  <c r="BA424" i="1" s="1"/>
  <c r="I424" i="1"/>
  <c r="H424" i="1"/>
  <c r="AV423" i="1"/>
  <c r="AU423" i="1"/>
  <c r="U423" i="1"/>
  <c r="T423" i="1"/>
  <c r="BA423" i="1" s="1"/>
  <c r="I423" i="1"/>
  <c r="H423" i="1"/>
  <c r="AU422" i="1"/>
  <c r="U422" i="1"/>
  <c r="T422" i="1"/>
  <c r="BA422" i="1" s="1"/>
  <c r="H422" i="1"/>
  <c r="I422" i="1" s="1"/>
  <c r="BA421" i="1"/>
  <c r="AU421" i="1"/>
  <c r="U421" i="1"/>
  <c r="T421" i="1"/>
  <c r="I421" i="1"/>
  <c r="H421" i="1"/>
  <c r="AU420" i="1"/>
  <c r="U420" i="1"/>
  <c r="T420" i="1"/>
  <c r="BA420" i="1" s="1"/>
  <c r="H420" i="1"/>
  <c r="I420" i="1" s="1"/>
  <c r="BA419" i="1"/>
  <c r="AU419" i="1"/>
  <c r="U419" i="1"/>
  <c r="T419" i="1"/>
  <c r="I419" i="1"/>
  <c r="H419" i="1"/>
  <c r="AV418" i="1"/>
  <c r="AU418" i="1"/>
  <c r="U418" i="1"/>
  <c r="T418" i="1"/>
  <c r="BA418" i="1" s="1"/>
  <c r="H418" i="1"/>
  <c r="I418" i="1" s="1"/>
  <c r="AU417" i="1"/>
  <c r="U417" i="1"/>
  <c r="T417" i="1"/>
  <c r="BA417" i="1" s="1"/>
  <c r="I417" i="1"/>
  <c r="H417" i="1"/>
  <c r="AU416" i="1"/>
  <c r="BA416" i="1" s="1"/>
  <c r="U416" i="1"/>
  <c r="T416" i="1"/>
  <c r="H416" i="1"/>
  <c r="I416" i="1" s="1"/>
  <c r="AU415" i="1"/>
  <c r="U415" i="1"/>
  <c r="T415" i="1"/>
  <c r="BA415" i="1" s="1"/>
  <c r="I415" i="1"/>
  <c r="H415" i="1"/>
  <c r="AU414" i="1"/>
  <c r="BA414" i="1" s="1"/>
  <c r="U414" i="1"/>
  <c r="T414" i="1"/>
  <c r="H414" i="1"/>
  <c r="I414" i="1" s="1"/>
  <c r="AU413" i="1"/>
  <c r="U413" i="1"/>
  <c r="T413" i="1"/>
  <c r="BA413" i="1" s="1"/>
  <c r="I413" i="1"/>
  <c r="H413" i="1"/>
  <c r="AU412" i="1"/>
  <c r="BA412" i="1" s="1"/>
  <c r="U412" i="1"/>
  <c r="T412" i="1"/>
  <c r="H412" i="1"/>
  <c r="I412" i="1" s="1"/>
  <c r="AU411" i="1"/>
  <c r="U411" i="1"/>
  <c r="T411" i="1"/>
  <c r="BA411" i="1" s="1"/>
  <c r="I411" i="1"/>
  <c r="H411" i="1"/>
  <c r="AU410" i="1"/>
  <c r="BA410" i="1" s="1"/>
  <c r="U410" i="1"/>
  <c r="T410" i="1"/>
  <c r="H410" i="1"/>
  <c r="I410" i="1" s="1"/>
  <c r="AV409" i="1"/>
  <c r="AU409" i="1"/>
  <c r="U409" i="1"/>
  <c r="T409" i="1"/>
  <c r="BA409" i="1" s="1"/>
  <c r="H409" i="1"/>
  <c r="I409" i="1" s="1"/>
  <c r="BA408" i="1"/>
  <c r="AU408" i="1"/>
  <c r="U408" i="1"/>
  <c r="T408" i="1"/>
  <c r="I408" i="1"/>
  <c r="H408" i="1"/>
  <c r="AV407" i="1"/>
  <c r="AU407" i="1"/>
  <c r="U407" i="1"/>
  <c r="T407" i="1"/>
  <c r="BA407" i="1" s="1"/>
  <c r="H407" i="1"/>
  <c r="I407" i="1" s="1"/>
  <c r="AY406" i="1"/>
  <c r="AZ406" i="1" s="1"/>
  <c r="AV406" i="1"/>
  <c r="AU406" i="1"/>
  <c r="W406" i="1"/>
  <c r="U406" i="1"/>
  <c r="T406" i="1"/>
  <c r="BA406" i="1" s="1"/>
  <c r="I406" i="1"/>
  <c r="H406" i="1"/>
  <c r="AU405" i="1"/>
  <c r="BA405" i="1" s="1"/>
  <c r="U405" i="1"/>
  <c r="T405" i="1"/>
  <c r="H405" i="1"/>
  <c r="I405" i="1" s="1"/>
  <c r="AV404" i="1"/>
  <c r="AU404" i="1"/>
  <c r="U404" i="1"/>
  <c r="T404" i="1"/>
  <c r="BA404" i="1" s="1"/>
  <c r="H404" i="1"/>
  <c r="I404" i="1" s="1"/>
  <c r="BA403" i="1"/>
  <c r="AU403" i="1"/>
  <c r="U403" i="1"/>
  <c r="T403" i="1"/>
  <c r="I403" i="1"/>
  <c r="H403" i="1"/>
  <c r="AV402" i="1"/>
  <c r="AU402" i="1"/>
  <c r="U402" i="1"/>
  <c r="T402" i="1"/>
  <c r="BA402" i="1" s="1"/>
  <c r="H402" i="1"/>
  <c r="I402" i="1" s="1"/>
  <c r="AU401" i="1"/>
  <c r="U401" i="1"/>
  <c r="T401" i="1"/>
  <c r="BA401" i="1" s="1"/>
  <c r="I401" i="1"/>
  <c r="H401" i="1"/>
  <c r="AU400" i="1"/>
  <c r="BA400" i="1" s="1"/>
  <c r="U400" i="1"/>
  <c r="T400" i="1"/>
  <c r="H400" i="1"/>
  <c r="I400" i="1" s="1"/>
  <c r="AU399" i="1"/>
  <c r="U399" i="1"/>
  <c r="T399" i="1"/>
  <c r="BA399" i="1" s="1"/>
  <c r="I399" i="1"/>
  <c r="H399" i="1"/>
  <c r="AV398" i="1"/>
  <c r="AU398" i="1"/>
  <c r="U398" i="1"/>
  <c r="T398" i="1"/>
  <c r="I398" i="1"/>
  <c r="H398" i="1"/>
  <c r="AV397" i="1"/>
  <c r="AU397" i="1"/>
  <c r="U397" i="1"/>
  <c r="T397" i="1"/>
  <c r="BA397" i="1" s="1"/>
  <c r="H397" i="1"/>
  <c r="I397" i="1" s="1"/>
  <c r="AV396" i="1"/>
  <c r="AU396" i="1"/>
  <c r="U396" i="1"/>
  <c r="T396" i="1"/>
  <c r="BA396" i="1" s="1"/>
  <c r="H396" i="1"/>
  <c r="I396" i="1" s="1"/>
  <c r="BA395" i="1"/>
  <c r="AU395" i="1"/>
  <c r="U395" i="1"/>
  <c r="T395" i="1"/>
  <c r="I395" i="1"/>
  <c r="H395" i="1"/>
  <c r="AU394" i="1"/>
  <c r="U394" i="1"/>
  <c r="T394" i="1"/>
  <c r="BA394" i="1" s="1"/>
  <c r="H394" i="1"/>
  <c r="I394" i="1" s="1"/>
  <c r="BA393" i="1"/>
  <c r="AU393" i="1"/>
  <c r="U393" i="1"/>
  <c r="T393" i="1"/>
  <c r="I393" i="1"/>
  <c r="H393" i="1"/>
  <c r="AU392" i="1"/>
  <c r="U392" i="1"/>
  <c r="T392" i="1"/>
  <c r="H392" i="1"/>
  <c r="I392" i="1" s="1"/>
  <c r="AV391" i="1"/>
  <c r="AU391" i="1"/>
  <c r="U391" i="1"/>
  <c r="T391" i="1"/>
  <c r="BA391" i="1" s="1"/>
  <c r="I391" i="1"/>
  <c r="H391" i="1"/>
  <c r="AU390" i="1"/>
  <c r="BA390" i="1" s="1"/>
  <c r="U390" i="1"/>
  <c r="T390" i="1"/>
  <c r="H390" i="1"/>
  <c r="I390" i="1" s="1"/>
  <c r="AU389" i="1"/>
  <c r="U389" i="1"/>
  <c r="T389" i="1"/>
  <c r="BA389" i="1" s="1"/>
  <c r="I389" i="1"/>
  <c r="H389" i="1"/>
  <c r="AV388" i="1"/>
  <c r="AU388" i="1"/>
  <c r="U388" i="1"/>
  <c r="T388" i="1"/>
  <c r="BA388" i="1" s="1"/>
  <c r="I388" i="1"/>
  <c r="H388" i="1"/>
  <c r="AU387" i="1"/>
  <c r="U387" i="1"/>
  <c r="T387" i="1"/>
  <c r="BA387" i="1" s="1"/>
  <c r="H387" i="1"/>
  <c r="I387" i="1" s="1"/>
  <c r="AV386" i="1"/>
  <c r="AU386" i="1"/>
  <c r="U386" i="1"/>
  <c r="T386" i="1"/>
  <c r="BA386" i="1" s="1"/>
  <c r="I386" i="1"/>
  <c r="H386" i="1"/>
  <c r="BA385" i="1"/>
  <c r="AU385" i="1"/>
  <c r="U385" i="1"/>
  <c r="T385" i="1"/>
  <c r="I385" i="1"/>
  <c r="H385" i="1"/>
  <c r="AU384" i="1"/>
  <c r="U384" i="1"/>
  <c r="T384" i="1"/>
  <c r="BA384" i="1" s="1"/>
  <c r="I384" i="1"/>
  <c r="H384" i="1"/>
  <c r="AU383" i="1"/>
  <c r="BA383" i="1" s="1"/>
  <c r="U383" i="1"/>
  <c r="T383" i="1"/>
  <c r="H383" i="1"/>
  <c r="I383" i="1" s="1"/>
  <c r="AV382" i="1"/>
  <c r="AU382" i="1"/>
  <c r="U382" i="1"/>
  <c r="T382" i="1"/>
  <c r="BA382" i="1" s="1"/>
  <c r="H382" i="1"/>
  <c r="I382" i="1" s="1"/>
  <c r="BA381" i="1"/>
  <c r="AU381" i="1"/>
  <c r="U381" i="1"/>
  <c r="T381" i="1"/>
  <c r="I381" i="1"/>
  <c r="H381" i="1"/>
  <c r="AU380" i="1"/>
  <c r="U380" i="1"/>
  <c r="T380" i="1"/>
  <c r="H380" i="1"/>
  <c r="I380" i="1" s="1"/>
  <c r="BA379" i="1"/>
  <c r="AU379" i="1"/>
  <c r="U379" i="1"/>
  <c r="T379" i="1"/>
  <c r="I379" i="1"/>
  <c r="H379" i="1"/>
  <c r="AU378" i="1"/>
  <c r="U378" i="1"/>
  <c r="T378" i="1"/>
  <c r="BA378" i="1" s="1"/>
  <c r="H378" i="1"/>
  <c r="I378" i="1" s="1"/>
  <c r="AV377" i="1"/>
  <c r="AU377" i="1"/>
  <c r="U377" i="1"/>
  <c r="T377" i="1"/>
  <c r="BA377" i="1" s="1"/>
  <c r="I377" i="1"/>
  <c r="H377" i="1"/>
  <c r="AV376" i="1"/>
  <c r="AU376" i="1"/>
  <c r="U376" i="1"/>
  <c r="T376" i="1"/>
  <c r="BA376" i="1" s="1"/>
  <c r="I376" i="1"/>
  <c r="H376" i="1"/>
  <c r="AV375" i="1"/>
  <c r="AU375" i="1"/>
  <c r="U375" i="1"/>
  <c r="T375" i="1"/>
  <c r="I375" i="1"/>
  <c r="H375" i="1"/>
  <c r="AV374" i="1"/>
  <c r="AU374" i="1"/>
  <c r="U374" i="1"/>
  <c r="T374" i="1"/>
  <c r="H374" i="1"/>
  <c r="I374" i="1" s="1"/>
  <c r="AV373" i="1"/>
  <c r="AU373" i="1"/>
  <c r="U373" i="1"/>
  <c r="T373" i="1"/>
  <c r="BA373" i="1" s="1"/>
  <c r="I373" i="1"/>
  <c r="H373" i="1"/>
  <c r="AV372" i="1"/>
  <c r="AU372" i="1"/>
  <c r="U372" i="1"/>
  <c r="T372" i="1"/>
  <c r="BA372" i="1" s="1"/>
  <c r="I372" i="1"/>
  <c r="H372" i="1"/>
  <c r="AV371" i="1"/>
  <c r="AU371" i="1"/>
  <c r="U371" i="1"/>
  <c r="T371" i="1"/>
  <c r="BA371" i="1" s="1"/>
  <c r="H371" i="1"/>
  <c r="I371" i="1" s="1"/>
  <c r="AU370" i="1"/>
  <c r="U370" i="1"/>
  <c r="T370" i="1"/>
  <c r="BA370" i="1" s="1"/>
  <c r="I370" i="1"/>
  <c r="H370" i="1"/>
  <c r="BA369" i="1"/>
  <c r="AU369" i="1"/>
  <c r="U369" i="1"/>
  <c r="T369" i="1"/>
  <c r="I369" i="1"/>
  <c r="H369" i="1"/>
  <c r="BA368" i="1"/>
  <c r="AU368" i="1"/>
  <c r="U368" i="1"/>
  <c r="T368" i="1"/>
  <c r="I368" i="1"/>
  <c r="H368" i="1"/>
  <c r="BA367" i="1"/>
  <c r="AU367" i="1"/>
  <c r="U367" i="1"/>
  <c r="T367" i="1"/>
  <c r="I367" i="1"/>
  <c r="H367" i="1"/>
  <c r="BA366" i="1"/>
  <c r="AU366" i="1"/>
  <c r="U366" i="1"/>
  <c r="T366" i="1"/>
  <c r="I366" i="1"/>
  <c r="H366" i="1"/>
  <c r="BA365" i="1"/>
  <c r="AU365" i="1"/>
  <c r="U365" i="1"/>
  <c r="T365" i="1"/>
  <c r="I365" i="1"/>
  <c r="H365" i="1"/>
  <c r="BA364" i="1"/>
  <c r="AU364" i="1"/>
  <c r="U364" i="1"/>
  <c r="T364" i="1"/>
  <c r="I364" i="1"/>
  <c r="H364" i="1"/>
  <c r="BA363" i="1"/>
  <c r="AU363" i="1"/>
  <c r="U363" i="1"/>
  <c r="T363" i="1"/>
  <c r="I363" i="1"/>
  <c r="H363" i="1"/>
  <c r="BA362" i="1"/>
  <c r="AU362" i="1"/>
  <c r="U362" i="1"/>
  <c r="T362" i="1"/>
  <c r="I362" i="1"/>
  <c r="H362" i="1"/>
  <c r="BA361" i="1"/>
  <c r="AU361" i="1"/>
  <c r="U361" i="1"/>
  <c r="T361" i="1"/>
  <c r="I361" i="1"/>
  <c r="H361" i="1"/>
  <c r="BA360" i="1"/>
  <c r="AU360" i="1"/>
  <c r="U360" i="1"/>
  <c r="T360" i="1"/>
  <c r="I360" i="1"/>
  <c r="H360" i="1"/>
  <c r="BA359" i="1"/>
  <c r="AU359" i="1"/>
  <c r="U359" i="1"/>
  <c r="T359" i="1"/>
  <c r="I359" i="1"/>
  <c r="H359" i="1"/>
  <c r="BA358" i="1"/>
  <c r="AU358" i="1"/>
  <c r="U358" i="1"/>
  <c r="T358" i="1"/>
  <c r="I358" i="1"/>
  <c r="H358" i="1"/>
  <c r="BA357" i="1"/>
  <c r="AU357" i="1"/>
  <c r="U357" i="1"/>
  <c r="T357" i="1"/>
  <c r="I357" i="1"/>
  <c r="H357" i="1"/>
  <c r="BA356" i="1"/>
  <c r="AU356" i="1"/>
  <c r="U356" i="1"/>
  <c r="T356" i="1"/>
  <c r="I356" i="1"/>
  <c r="H356" i="1"/>
  <c r="BA355" i="1"/>
  <c r="AU355" i="1"/>
  <c r="U355" i="1"/>
  <c r="T355" i="1"/>
  <c r="I355" i="1"/>
  <c r="H355" i="1"/>
  <c r="BA354" i="1"/>
  <c r="AU354" i="1"/>
  <c r="U354" i="1"/>
  <c r="T354" i="1"/>
  <c r="I354" i="1"/>
  <c r="H354" i="1"/>
  <c r="BA353" i="1"/>
  <c r="AU353" i="1"/>
  <c r="U353" i="1"/>
  <c r="T353" i="1"/>
  <c r="I353" i="1"/>
  <c r="H353" i="1"/>
  <c r="AV352" i="1"/>
  <c r="AU352" i="1"/>
  <c r="U352" i="1"/>
  <c r="T352" i="1"/>
  <c r="H352" i="1"/>
  <c r="I352" i="1" s="1"/>
  <c r="BA351" i="1"/>
  <c r="AU351" i="1"/>
  <c r="U351" i="1"/>
  <c r="T351" i="1"/>
  <c r="I351" i="1"/>
  <c r="H351" i="1"/>
  <c r="AU350" i="1"/>
  <c r="U350" i="1"/>
  <c r="T350" i="1"/>
  <c r="BA350" i="1" s="1"/>
  <c r="H350" i="1"/>
  <c r="I350" i="1" s="1"/>
  <c r="BA349" i="1"/>
  <c r="AU349" i="1"/>
  <c r="U349" i="1"/>
  <c r="T349" i="1"/>
  <c r="I349" i="1"/>
  <c r="H349" i="1"/>
  <c r="AV348" i="1"/>
  <c r="AU348" i="1"/>
  <c r="U348" i="1"/>
  <c r="T348" i="1"/>
  <c r="I348" i="1"/>
  <c r="H348" i="1"/>
  <c r="AV347" i="1"/>
  <c r="AU347" i="1"/>
  <c r="U347" i="1"/>
  <c r="T347" i="1"/>
  <c r="BA347" i="1" s="1"/>
  <c r="H347" i="1"/>
  <c r="I347" i="1" s="1"/>
  <c r="BA346" i="1"/>
  <c r="AU346" i="1"/>
  <c r="U346" i="1"/>
  <c r="T346" i="1"/>
  <c r="I346" i="1"/>
  <c r="H346" i="1"/>
  <c r="AV345" i="1"/>
  <c r="AU345" i="1"/>
  <c r="U345" i="1"/>
  <c r="T345" i="1"/>
  <c r="I345" i="1"/>
  <c r="H345" i="1"/>
  <c r="AV344" i="1"/>
  <c r="AU344" i="1"/>
  <c r="U344" i="1"/>
  <c r="T344" i="1"/>
  <c r="BA344" i="1" s="1"/>
  <c r="H344" i="1"/>
  <c r="I344" i="1" s="1"/>
  <c r="BA343" i="1"/>
  <c r="AU343" i="1"/>
  <c r="U343" i="1"/>
  <c r="T343" i="1"/>
  <c r="I343" i="1"/>
  <c r="H343" i="1"/>
  <c r="AU342" i="1"/>
  <c r="U342" i="1"/>
  <c r="T342" i="1"/>
  <c r="H342" i="1"/>
  <c r="I342" i="1" s="1"/>
  <c r="BA341" i="1"/>
  <c r="AU341" i="1"/>
  <c r="U341" i="1"/>
  <c r="T341" i="1"/>
  <c r="I341" i="1"/>
  <c r="H341" i="1"/>
  <c r="AU340" i="1"/>
  <c r="U340" i="1"/>
  <c r="T340" i="1"/>
  <c r="BA340" i="1" s="1"/>
  <c r="H340" i="1"/>
  <c r="I340" i="1" s="1"/>
  <c r="AV339" i="1"/>
  <c r="AC339" i="1"/>
  <c r="AU339" i="1" s="1"/>
  <c r="U339" i="1"/>
  <c r="T339" i="1"/>
  <c r="BA339" i="1" s="1"/>
  <c r="H339" i="1"/>
  <c r="I339" i="1" s="1"/>
  <c r="AV338" i="1"/>
  <c r="AU338" i="1"/>
  <c r="U338" i="1"/>
  <c r="T338" i="1"/>
  <c r="BA338" i="1" s="1"/>
  <c r="I338" i="1"/>
  <c r="H338" i="1"/>
  <c r="AU337" i="1"/>
  <c r="BA337" i="1" s="1"/>
  <c r="U337" i="1"/>
  <c r="T337" i="1"/>
  <c r="H337" i="1"/>
  <c r="I337" i="1" s="1"/>
  <c r="AU336" i="1"/>
  <c r="U336" i="1"/>
  <c r="T336" i="1"/>
  <c r="BA336" i="1" s="1"/>
  <c r="I336" i="1"/>
  <c r="H336" i="1"/>
  <c r="AU335" i="1"/>
  <c r="BA335" i="1" s="1"/>
  <c r="U335" i="1"/>
  <c r="T335" i="1"/>
  <c r="H335" i="1"/>
  <c r="I335" i="1" s="1"/>
  <c r="AU334" i="1"/>
  <c r="U334" i="1"/>
  <c r="T334" i="1"/>
  <c r="BA334" i="1" s="1"/>
  <c r="I334" i="1"/>
  <c r="H334" i="1"/>
  <c r="AU333" i="1"/>
  <c r="BA333" i="1" s="1"/>
  <c r="U333" i="1"/>
  <c r="T333" i="1"/>
  <c r="H333" i="1"/>
  <c r="I333" i="1" s="1"/>
  <c r="AV332" i="1"/>
  <c r="AU332" i="1"/>
  <c r="U332" i="1"/>
  <c r="T332" i="1"/>
  <c r="BA332" i="1" s="1"/>
  <c r="H332" i="1"/>
  <c r="I332" i="1" s="1"/>
  <c r="AU331" i="1"/>
  <c r="U331" i="1"/>
  <c r="T331" i="1"/>
  <c r="H331" i="1"/>
  <c r="I331" i="1" s="1"/>
  <c r="AU330" i="1"/>
  <c r="U330" i="1"/>
  <c r="T330" i="1"/>
  <c r="H330" i="1"/>
  <c r="I330" i="1" s="1"/>
  <c r="AV329" i="1"/>
  <c r="AU329" i="1"/>
  <c r="U329" i="1"/>
  <c r="T329" i="1"/>
  <c r="BA329" i="1" s="1"/>
  <c r="I329" i="1"/>
  <c r="H329" i="1"/>
  <c r="BA328" i="1"/>
  <c r="AU328" i="1"/>
  <c r="U328" i="1"/>
  <c r="T328" i="1"/>
  <c r="I328" i="1"/>
  <c r="H328" i="1"/>
  <c r="AU327" i="1"/>
  <c r="U327" i="1"/>
  <c r="T327" i="1"/>
  <c r="BA327" i="1" s="1"/>
  <c r="I327" i="1"/>
  <c r="H327" i="1"/>
  <c r="BA326" i="1"/>
  <c r="AU326" i="1"/>
  <c r="U326" i="1"/>
  <c r="T326" i="1"/>
  <c r="I326" i="1"/>
  <c r="H326" i="1"/>
  <c r="AV325" i="1"/>
  <c r="AU325" i="1"/>
  <c r="U325" i="1"/>
  <c r="T325" i="1"/>
  <c r="H325" i="1"/>
  <c r="I325" i="1" s="1"/>
  <c r="BA324" i="1"/>
  <c r="AU324" i="1"/>
  <c r="U324" i="1"/>
  <c r="T324" i="1"/>
  <c r="I324" i="1"/>
  <c r="H324" i="1"/>
  <c r="AV323" i="1"/>
  <c r="AU323" i="1"/>
  <c r="U323" i="1"/>
  <c r="T323" i="1"/>
  <c r="BA323" i="1" s="1"/>
  <c r="I323" i="1"/>
  <c r="H323" i="1"/>
  <c r="BA322" i="1"/>
  <c r="AU322" i="1"/>
  <c r="U322" i="1"/>
  <c r="T322" i="1"/>
  <c r="I322" i="1"/>
  <c r="H322" i="1"/>
  <c r="BA321" i="1"/>
  <c r="AU321" i="1"/>
  <c r="U321" i="1"/>
  <c r="T321" i="1"/>
  <c r="I321" i="1"/>
  <c r="H321" i="1"/>
  <c r="BA320" i="1"/>
  <c r="AU320" i="1"/>
  <c r="U320" i="1"/>
  <c r="T320" i="1"/>
  <c r="I320" i="1"/>
  <c r="H320" i="1"/>
  <c r="BA319" i="1"/>
  <c r="AU319" i="1"/>
  <c r="U319" i="1"/>
  <c r="T319" i="1"/>
  <c r="I319" i="1"/>
  <c r="H319" i="1"/>
  <c r="BA318" i="1"/>
  <c r="AU318" i="1"/>
  <c r="U318" i="1"/>
  <c r="T318" i="1"/>
  <c r="I318" i="1"/>
  <c r="H318" i="1"/>
  <c r="BA317" i="1"/>
  <c r="AU317" i="1"/>
  <c r="U317" i="1"/>
  <c r="T317" i="1"/>
  <c r="I317" i="1"/>
  <c r="H317" i="1"/>
  <c r="BA316" i="1"/>
  <c r="AU316" i="1"/>
  <c r="U316" i="1"/>
  <c r="T316" i="1"/>
  <c r="I316" i="1"/>
  <c r="H316" i="1"/>
  <c r="BA315" i="1"/>
  <c r="AU315" i="1"/>
  <c r="U315" i="1"/>
  <c r="T315" i="1"/>
  <c r="I315" i="1"/>
  <c r="H315" i="1"/>
  <c r="BA314" i="1"/>
  <c r="AU314" i="1"/>
  <c r="U314" i="1"/>
  <c r="T314" i="1"/>
  <c r="I314" i="1"/>
  <c r="H314" i="1"/>
  <c r="BA313" i="1"/>
  <c r="AU313" i="1"/>
  <c r="U313" i="1"/>
  <c r="T313" i="1"/>
  <c r="I313" i="1"/>
  <c r="H313" i="1"/>
  <c r="BA312" i="1"/>
  <c r="AU312" i="1"/>
  <c r="U312" i="1"/>
  <c r="T312" i="1"/>
  <c r="I312" i="1"/>
  <c r="H312" i="1"/>
  <c r="BA311" i="1"/>
  <c r="AU311" i="1"/>
  <c r="U311" i="1"/>
  <c r="T311" i="1"/>
  <c r="I311" i="1"/>
  <c r="H311" i="1"/>
  <c r="BA310" i="1"/>
  <c r="AU310" i="1"/>
  <c r="U310" i="1"/>
  <c r="T310" i="1"/>
  <c r="I310" i="1"/>
  <c r="H310" i="1"/>
  <c r="BA309" i="1"/>
  <c r="AU309" i="1"/>
  <c r="U309" i="1"/>
  <c r="T309" i="1"/>
  <c r="I309" i="1"/>
  <c r="H309" i="1"/>
  <c r="BA308" i="1"/>
  <c r="AU308" i="1"/>
  <c r="U308" i="1"/>
  <c r="T308" i="1"/>
  <c r="I308" i="1"/>
  <c r="H308" i="1"/>
  <c r="AV307" i="1"/>
  <c r="AU307" i="1"/>
  <c r="U307" i="1"/>
  <c r="T307" i="1"/>
  <c r="BA307" i="1" s="1"/>
  <c r="H307" i="1"/>
  <c r="I307" i="1" s="1"/>
  <c r="AU306" i="1"/>
  <c r="U306" i="1"/>
  <c r="T306" i="1"/>
  <c r="H306" i="1"/>
  <c r="I306" i="1" s="1"/>
  <c r="AU305" i="1"/>
  <c r="U305" i="1"/>
  <c r="T305" i="1"/>
  <c r="BA305" i="1" s="1"/>
  <c r="H305" i="1"/>
  <c r="I305" i="1" s="1"/>
  <c r="AU304" i="1"/>
  <c r="U304" i="1"/>
  <c r="T304" i="1"/>
  <c r="BA304" i="1" s="1"/>
  <c r="H304" i="1"/>
  <c r="I304" i="1" s="1"/>
  <c r="AU303" i="1"/>
  <c r="U303" i="1"/>
  <c r="T303" i="1"/>
  <c r="BA303" i="1" s="1"/>
  <c r="H303" i="1"/>
  <c r="I303" i="1" s="1"/>
  <c r="AV302" i="1"/>
  <c r="AU302" i="1"/>
  <c r="U302" i="1"/>
  <c r="T302" i="1"/>
  <c r="BA302" i="1" s="1"/>
  <c r="I302" i="1"/>
  <c r="H302" i="1"/>
  <c r="AV301" i="1"/>
  <c r="AU301" i="1"/>
  <c r="U301" i="1"/>
  <c r="T301" i="1"/>
  <c r="BA301" i="1" s="1"/>
  <c r="H301" i="1"/>
  <c r="I301" i="1" s="1"/>
  <c r="AV300" i="1"/>
  <c r="AU300" i="1"/>
  <c r="U300" i="1"/>
  <c r="T300" i="1"/>
  <c r="BA300" i="1" s="1"/>
  <c r="I300" i="1"/>
  <c r="H300" i="1"/>
  <c r="BA299" i="1"/>
  <c r="AU299" i="1"/>
  <c r="U299" i="1"/>
  <c r="T299" i="1"/>
  <c r="I299" i="1"/>
  <c r="H299" i="1"/>
  <c r="BA298" i="1"/>
  <c r="AU298" i="1"/>
  <c r="U298" i="1"/>
  <c r="T298" i="1"/>
  <c r="I298" i="1"/>
  <c r="H298" i="1"/>
  <c r="BA297" i="1"/>
  <c r="AU297" i="1"/>
  <c r="U297" i="1"/>
  <c r="T297" i="1"/>
  <c r="I297" i="1"/>
  <c r="H297" i="1"/>
  <c r="BA296" i="1"/>
  <c r="AU296" i="1"/>
  <c r="U296" i="1"/>
  <c r="T296" i="1"/>
  <c r="I296" i="1"/>
  <c r="H296" i="1"/>
  <c r="AU295" i="1"/>
  <c r="V295" i="1"/>
  <c r="U295" i="1" s="1"/>
  <c r="T295" i="1"/>
  <c r="BA295" i="1" s="1"/>
  <c r="H295" i="1"/>
  <c r="I295" i="1" s="1"/>
  <c r="AU294" i="1"/>
  <c r="U294" i="1"/>
  <c r="T294" i="1"/>
  <c r="BA294" i="1" s="1"/>
  <c r="H294" i="1"/>
  <c r="I294" i="1" s="1"/>
  <c r="AU293" i="1"/>
  <c r="U293" i="1"/>
  <c r="T293" i="1"/>
  <c r="H293" i="1"/>
  <c r="I293" i="1" s="1"/>
  <c r="AV292" i="1"/>
  <c r="AU292" i="1"/>
  <c r="U292" i="1"/>
  <c r="T292" i="1"/>
  <c r="BA292" i="1" s="1"/>
  <c r="I292" i="1"/>
  <c r="H292" i="1"/>
  <c r="BA291" i="1"/>
  <c r="AV291" i="1"/>
  <c r="AU291" i="1"/>
  <c r="W291" i="1"/>
  <c r="U291" i="1"/>
  <c r="T291" i="1"/>
  <c r="I291" i="1"/>
  <c r="H291" i="1"/>
  <c r="AV290" i="1"/>
  <c r="AU290" i="1"/>
  <c r="U290" i="1"/>
  <c r="T290" i="1"/>
  <c r="BA290" i="1" s="1"/>
  <c r="H290" i="1"/>
  <c r="I290" i="1" s="1"/>
  <c r="AV289" i="1"/>
  <c r="AU289" i="1"/>
  <c r="U289" i="1"/>
  <c r="T289" i="1"/>
  <c r="BA289" i="1" s="1"/>
  <c r="I289" i="1"/>
  <c r="H289" i="1"/>
  <c r="AV288" i="1"/>
  <c r="AU288" i="1"/>
  <c r="U288" i="1"/>
  <c r="T288" i="1"/>
  <c r="H288" i="1"/>
  <c r="I288" i="1" s="1"/>
  <c r="AU287" i="1"/>
  <c r="U287" i="1"/>
  <c r="T287" i="1"/>
  <c r="BA287" i="1" s="1"/>
  <c r="H287" i="1"/>
  <c r="I287" i="1" s="1"/>
  <c r="AU286" i="1"/>
  <c r="U286" i="1"/>
  <c r="T286" i="1"/>
  <c r="H286" i="1"/>
  <c r="I286" i="1" s="1"/>
  <c r="AV285" i="1"/>
  <c r="AU285" i="1"/>
  <c r="U285" i="1"/>
  <c r="T285" i="1"/>
  <c r="BA285" i="1" s="1"/>
  <c r="I285" i="1"/>
  <c r="H285" i="1"/>
  <c r="AV284" i="1"/>
  <c r="AU284" i="1"/>
  <c r="U284" i="1"/>
  <c r="T284" i="1"/>
  <c r="BA284" i="1" s="1"/>
  <c r="H284" i="1"/>
  <c r="I284" i="1" s="1"/>
  <c r="AU283" i="1"/>
  <c r="U283" i="1"/>
  <c r="T283" i="1"/>
  <c r="H283" i="1"/>
  <c r="I283" i="1" s="1"/>
  <c r="AU282" i="1"/>
  <c r="U282" i="1"/>
  <c r="T282" i="1"/>
  <c r="BA282" i="1" s="1"/>
  <c r="H282" i="1"/>
  <c r="I282" i="1" s="1"/>
  <c r="AU281" i="1"/>
  <c r="U281" i="1"/>
  <c r="T281" i="1"/>
  <c r="H281" i="1"/>
  <c r="I281" i="1" s="1"/>
  <c r="AV280" i="1"/>
  <c r="AU280" i="1"/>
  <c r="U280" i="1"/>
  <c r="T280" i="1"/>
  <c r="BA280" i="1" s="1"/>
  <c r="I280" i="1"/>
  <c r="H280" i="1"/>
  <c r="BA279" i="1"/>
  <c r="AV279" i="1"/>
  <c r="AU279" i="1"/>
  <c r="W279" i="1"/>
  <c r="U279" i="1"/>
  <c r="T279" i="1"/>
  <c r="I279" i="1"/>
  <c r="H279" i="1"/>
  <c r="BA278" i="1"/>
  <c r="AU278" i="1"/>
  <c r="U278" i="1"/>
  <c r="T278" i="1"/>
  <c r="I278" i="1"/>
  <c r="H278" i="1"/>
  <c r="BA277" i="1"/>
  <c r="AU277" i="1"/>
  <c r="U277" i="1"/>
  <c r="T277" i="1"/>
  <c r="I277" i="1"/>
  <c r="H277" i="1"/>
  <c r="BA276" i="1"/>
  <c r="AU276" i="1"/>
  <c r="U276" i="1"/>
  <c r="T276" i="1"/>
  <c r="I276" i="1"/>
  <c r="H276" i="1"/>
  <c r="BA275" i="1"/>
  <c r="AU275" i="1"/>
  <c r="U275" i="1"/>
  <c r="T275" i="1"/>
  <c r="I275" i="1"/>
  <c r="H275" i="1"/>
  <c r="BA274" i="1"/>
  <c r="AU274" i="1"/>
  <c r="U274" i="1"/>
  <c r="T274" i="1"/>
  <c r="I274" i="1"/>
  <c r="H274" i="1"/>
  <c r="BA273" i="1"/>
  <c r="AU273" i="1"/>
  <c r="U273" i="1"/>
  <c r="T273" i="1"/>
  <c r="I273" i="1"/>
  <c r="H273" i="1"/>
  <c r="BA272" i="1"/>
  <c r="AU272" i="1"/>
  <c r="U272" i="1"/>
  <c r="T272" i="1"/>
  <c r="I272" i="1"/>
  <c r="H272" i="1"/>
  <c r="BA271" i="1"/>
  <c r="AU271" i="1"/>
  <c r="U271" i="1"/>
  <c r="T271" i="1"/>
  <c r="I271" i="1"/>
  <c r="H271" i="1"/>
  <c r="BA270" i="1"/>
  <c r="AU270" i="1"/>
  <c r="U270" i="1"/>
  <c r="T270" i="1"/>
  <c r="I270" i="1"/>
  <c r="H270" i="1"/>
  <c r="BA269" i="1"/>
  <c r="AU269" i="1"/>
  <c r="U269" i="1"/>
  <c r="T269" i="1"/>
  <c r="I269" i="1"/>
  <c r="H269" i="1"/>
  <c r="BA268" i="1"/>
  <c r="AU268" i="1"/>
  <c r="U268" i="1"/>
  <c r="T268" i="1"/>
  <c r="I268" i="1"/>
  <c r="H268" i="1"/>
  <c r="AV267" i="1"/>
  <c r="AU267" i="1"/>
  <c r="U267" i="1"/>
  <c r="T267" i="1"/>
  <c r="BA267" i="1" s="1"/>
  <c r="H267" i="1"/>
  <c r="I267" i="1" s="1"/>
  <c r="AU266" i="1"/>
  <c r="U266" i="1"/>
  <c r="T266" i="1"/>
  <c r="BA266" i="1" s="1"/>
  <c r="H266" i="1"/>
  <c r="I266" i="1" s="1"/>
  <c r="AU265" i="1"/>
  <c r="U265" i="1"/>
  <c r="T265" i="1"/>
  <c r="BA265" i="1" s="1"/>
  <c r="H265" i="1"/>
  <c r="I265" i="1" s="1"/>
  <c r="AU264" i="1"/>
  <c r="U264" i="1"/>
  <c r="T264" i="1"/>
  <c r="BA264" i="1" s="1"/>
  <c r="H264" i="1"/>
  <c r="I264" i="1" s="1"/>
  <c r="AU263" i="1"/>
  <c r="U263" i="1"/>
  <c r="T263" i="1"/>
  <c r="BA263" i="1" s="1"/>
  <c r="H263" i="1"/>
  <c r="I263" i="1" s="1"/>
  <c r="AU262" i="1"/>
  <c r="U262" i="1"/>
  <c r="T262" i="1"/>
  <c r="BA262" i="1" s="1"/>
  <c r="H262" i="1"/>
  <c r="I262" i="1" s="1"/>
  <c r="AU261" i="1"/>
  <c r="U261" i="1"/>
  <c r="T261" i="1"/>
  <c r="BA261" i="1" s="1"/>
  <c r="H261" i="1"/>
  <c r="I261" i="1" s="1"/>
  <c r="AU260" i="1"/>
  <c r="U260" i="1"/>
  <c r="T260" i="1"/>
  <c r="BA260" i="1" s="1"/>
  <c r="H260" i="1"/>
  <c r="I260" i="1" s="1"/>
  <c r="AU259" i="1"/>
  <c r="U259" i="1"/>
  <c r="T259" i="1"/>
  <c r="BA259" i="1" s="1"/>
  <c r="H259" i="1"/>
  <c r="I259" i="1" s="1"/>
  <c r="AU258" i="1"/>
  <c r="U258" i="1"/>
  <c r="T258" i="1"/>
  <c r="BA258" i="1" s="1"/>
  <c r="H258" i="1"/>
  <c r="I258" i="1" s="1"/>
  <c r="AU257" i="1"/>
  <c r="U257" i="1"/>
  <c r="T257" i="1"/>
  <c r="BA257" i="1" s="1"/>
  <c r="H257" i="1"/>
  <c r="I257" i="1" s="1"/>
  <c r="AU256" i="1"/>
  <c r="U256" i="1"/>
  <c r="T256" i="1"/>
  <c r="BA256" i="1" s="1"/>
  <c r="H256" i="1"/>
  <c r="I256" i="1" s="1"/>
  <c r="AU255" i="1"/>
  <c r="U255" i="1"/>
  <c r="T255" i="1"/>
  <c r="BA255" i="1" s="1"/>
  <c r="H255" i="1"/>
  <c r="I255" i="1" s="1"/>
  <c r="AU254" i="1"/>
  <c r="U254" i="1"/>
  <c r="T254" i="1"/>
  <c r="BA254" i="1" s="1"/>
  <c r="H254" i="1"/>
  <c r="I254" i="1" s="1"/>
  <c r="AU253" i="1"/>
  <c r="U253" i="1"/>
  <c r="T253" i="1"/>
  <c r="BA253" i="1" s="1"/>
  <c r="H253" i="1"/>
  <c r="I253" i="1" s="1"/>
  <c r="AU252" i="1"/>
  <c r="U252" i="1"/>
  <c r="T252" i="1"/>
  <c r="BA252" i="1" s="1"/>
  <c r="H252" i="1"/>
  <c r="I252" i="1" s="1"/>
  <c r="AU251" i="1"/>
  <c r="U251" i="1"/>
  <c r="T251" i="1"/>
  <c r="BA251" i="1" s="1"/>
  <c r="H251" i="1"/>
  <c r="I251" i="1" s="1"/>
  <c r="AU250" i="1"/>
  <c r="U250" i="1"/>
  <c r="T250" i="1"/>
  <c r="BA250" i="1" s="1"/>
  <c r="H250" i="1"/>
  <c r="I250" i="1" s="1"/>
  <c r="AU249" i="1"/>
  <c r="U249" i="1"/>
  <c r="T249" i="1"/>
  <c r="BA249" i="1" s="1"/>
  <c r="H249" i="1"/>
  <c r="I249" i="1" s="1"/>
  <c r="AU248" i="1"/>
  <c r="U248" i="1"/>
  <c r="T248" i="1"/>
  <c r="BA248" i="1" s="1"/>
  <c r="H248" i="1"/>
  <c r="I248" i="1" s="1"/>
  <c r="AU247" i="1"/>
  <c r="U247" i="1"/>
  <c r="T247" i="1"/>
  <c r="BA247" i="1" s="1"/>
  <c r="H247" i="1"/>
  <c r="I247" i="1" s="1"/>
  <c r="AU246" i="1"/>
  <c r="U246" i="1"/>
  <c r="T246" i="1"/>
  <c r="BA246" i="1" s="1"/>
  <c r="H246" i="1"/>
  <c r="I246" i="1" s="1"/>
  <c r="AU245" i="1"/>
  <c r="U245" i="1"/>
  <c r="T245" i="1"/>
  <c r="BA245" i="1" s="1"/>
  <c r="H245" i="1"/>
  <c r="I245" i="1" s="1"/>
  <c r="AU244" i="1"/>
  <c r="U244" i="1"/>
  <c r="T244" i="1"/>
  <c r="BA244" i="1" s="1"/>
  <c r="H244" i="1"/>
  <c r="I244" i="1" s="1"/>
  <c r="AU243" i="1"/>
  <c r="U243" i="1"/>
  <c r="T243" i="1"/>
  <c r="BA243" i="1" s="1"/>
  <c r="H243" i="1"/>
  <c r="I243" i="1" s="1"/>
  <c r="AV242" i="1"/>
  <c r="AC242" i="1"/>
  <c r="AU242" i="1" s="1"/>
  <c r="U242" i="1"/>
  <c r="T242" i="1"/>
  <c r="BA242" i="1" s="1"/>
  <c r="H242" i="1"/>
  <c r="I242" i="1" s="1"/>
  <c r="AU241" i="1"/>
  <c r="U241" i="1"/>
  <c r="T241" i="1"/>
  <c r="BA241" i="1" s="1"/>
  <c r="H241" i="1"/>
  <c r="I241" i="1" s="1"/>
  <c r="AV240" i="1"/>
  <c r="AU240" i="1"/>
  <c r="W240" i="1"/>
  <c r="U240" i="1" s="1"/>
  <c r="T240" i="1"/>
  <c r="BA240" i="1" s="1"/>
  <c r="H240" i="1"/>
  <c r="I240" i="1" s="1"/>
  <c r="AU239" i="1"/>
  <c r="U239" i="1"/>
  <c r="T239" i="1"/>
  <c r="H239" i="1"/>
  <c r="I239" i="1" s="1"/>
  <c r="AU238" i="1"/>
  <c r="U238" i="1"/>
  <c r="T238" i="1"/>
  <c r="BA238" i="1" s="1"/>
  <c r="H238" i="1"/>
  <c r="I238" i="1" s="1"/>
  <c r="AU237" i="1"/>
  <c r="U237" i="1"/>
  <c r="T237" i="1"/>
  <c r="H237" i="1"/>
  <c r="I237" i="1" s="1"/>
  <c r="AV236" i="1"/>
  <c r="AU236" i="1"/>
  <c r="U236" i="1"/>
  <c r="T236" i="1"/>
  <c r="BA236" i="1" s="1"/>
  <c r="I236" i="1"/>
  <c r="H236" i="1"/>
  <c r="AV235" i="1"/>
  <c r="AU235" i="1"/>
  <c r="U235" i="1"/>
  <c r="T235" i="1"/>
  <c r="BA235" i="1" s="1"/>
  <c r="H235" i="1"/>
  <c r="I235" i="1" s="1"/>
  <c r="AV234" i="1"/>
  <c r="AU234" i="1"/>
  <c r="U234" i="1"/>
  <c r="T234" i="1"/>
  <c r="I234" i="1"/>
  <c r="H234" i="1"/>
  <c r="AV233" i="1"/>
  <c r="AU233" i="1"/>
  <c r="U233" i="1"/>
  <c r="T233" i="1"/>
  <c r="BA233" i="1" s="1"/>
  <c r="H233" i="1"/>
  <c r="I233" i="1" s="1"/>
  <c r="AU232" i="1"/>
  <c r="U232" i="1"/>
  <c r="T232" i="1"/>
  <c r="BA232" i="1" s="1"/>
  <c r="H232" i="1"/>
  <c r="I232" i="1" s="1"/>
  <c r="AU231" i="1"/>
  <c r="U231" i="1"/>
  <c r="T231" i="1"/>
  <c r="BA231" i="1" s="1"/>
  <c r="H231" i="1"/>
  <c r="I231" i="1" s="1"/>
  <c r="AU230" i="1"/>
  <c r="U230" i="1"/>
  <c r="T230" i="1"/>
  <c r="BA230" i="1" s="1"/>
  <c r="H230" i="1"/>
  <c r="I230" i="1" s="1"/>
  <c r="AU229" i="1"/>
  <c r="U229" i="1"/>
  <c r="T229" i="1"/>
  <c r="BA229" i="1" s="1"/>
  <c r="H229" i="1"/>
  <c r="I229" i="1" s="1"/>
  <c r="AU228" i="1"/>
  <c r="U228" i="1"/>
  <c r="T228" i="1"/>
  <c r="BA228" i="1" s="1"/>
  <c r="H228" i="1"/>
  <c r="I228" i="1" s="1"/>
  <c r="AV227" i="1"/>
  <c r="AU227" i="1"/>
  <c r="U227" i="1"/>
  <c r="T227" i="1"/>
  <c r="BA227" i="1" s="1"/>
  <c r="I227" i="1"/>
  <c r="H227" i="1"/>
  <c r="BA226" i="1"/>
  <c r="AU226" i="1"/>
  <c r="U226" i="1"/>
  <c r="T226" i="1"/>
  <c r="I226" i="1"/>
  <c r="H226" i="1"/>
  <c r="BA225" i="1"/>
  <c r="AU225" i="1"/>
  <c r="U225" i="1"/>
  <c r="T225" i="1"/>
  <c r="I225" i="1"/>
  <c r="H225" i="1"/>
  <c r="BA224" i="1"/>
  <c r="AV224" i="1"/>
  <c r="AU224" i="1"/>
  <c r="W224" i="1"/>
  <c r="U224" i="1"/>
  <c r="T224" i="1"/>
  <c r="I224" i="1"/>
  <c r="H224" i="1"/>
  <c r="BA223" i="1"/>
  <c r="AU223" i="1"/>
  <c r="U223" i="1"/>
  <c r="T223" i="1"/>
  <c r="I223" i="1"/>
  <c r="H223" i="1"/>
  <c r="BA222" i="1"/>
  <c r="AU222" i="1"/>
  <c r="U222" i="1"/>
  <c r="T222" i="1"/>
  <c r="I222" i="1"/>
  <c r="H222" i="1"/>
  <c r="BA221" i="1"/>
  <c r="AU221" i="1"/>
  <c r="U221" i="1"/>
  <c r="T221" i="1"/>
  <c r="I221" i="1"/>
  <c r="H221" i="1"/>
  <c r="AV220" i="1"/>
  <c r="AU220" i="1"/>
  <c r="U220" i="1"/>
  <c r="T220" i="1"/>
  <c r="BA220" i="1" s="1"/>
  <c r="H220" i="1"/>
  <c r="I220" i="1" s="1"/>
  <c r="AU219" i="1"/>
  <c r="U219" i="1"/>
  <c r="T219" i="1"/>
  <c r="H219" i="1"/>
  <c r="I219" i="1" s="1"/>
  <c r="AU218" i="1"/>
  <c r="U218" i="1"/>
  <c r="T218" i="1"/>
  <c r="H218" i="1"/>
  <c r="I218" i="1" s="1"/>
  <c r="AU217" i="1"/>
  <c r="U217" i="1"/>
  <c r="T217" i="1"/>
  <c r="H217" i="1"/>
  <c r="I217" i="1" s="1"/>
  <c r="AV216" i="1"/>
  <c r="AU216" i="1"/>
  <c r="W216" i="1"/>
  <c r="U216" i="1" s="1"/>
  <c r="T216" i="1"/>
  <c r="H216" i="1"/>
  <c r="I216" i="1" s="1"/>
  <c r="AU215" i="1"/>
  <c r="U215" i="1"/>
  <c r="T215" i="1"/>
  <c r="BA215" i="1" s="1"/>
  <c r="H215" i="1"/>
  <c r="I215" i="1" s="1"/>
  <c r="AU214" i="1"/>
  <c r="U214" i="1"/>
  <c r="T214" i="1"/>
  <c r="BA214" i="1" s="1"/>
  <c r="H214" i="1"/>
  <c r="I214" i="1" s="1"/>
  <c r="AV213" i="1"/>
  <c r="AU213" i="1"/>
  <c r="W213" i="1"/>
  <c r="U213" i="1" s="1"/>
  <c r="T213" i="1"/>
  <c r="BA213" i="1" s="1"/>
  <c r="H213" i="1"/>
  <c r="I213" i="1" s="1"/>
  <c r="AU212" i="1"/>
  <c r="U212" i="1"/>
  <c r="T212" i="1"/>
  <c r="BA212" i="1" s="1"/>
  <c r="H212" i="1"/>
  <c r="I212" i="1" s="1"/>
  <c r="AV211" i="1"/>
  <c r="AU211" i="1"/>
  <c r="W211" i="1"/>
  <c r="U211" i="1" s="1"/>
  <c r="T211" i="1"/>
  <c r="BA211" i="1" s="1"/>
  <c r="H211" i="1"/>
  <c r="I211" i="1" s="1"/>
  <c r="BA210" i="1"/>
  <c r="AU210" i="1"/>
  <c r="U210" i="1"/>
  <c r="T210" i="1"/>
  <c r="I210" i="1"/>
  <c r="H210" i="1"/>
  <c r="AU209" i="1"/>
  <c r="U209" i="1"/>
  <c r="T209" i="1"/>
  <c r="BA209" i="1" s="1"/>
  <c r="H209" i="1"/>
  <c r="I209" i="1" s="1"/>
  <c r="AU208" i="1"/>
  <c r="BA208" i="1" s="1"/>
  <c r="U208" i="1"/>
  <c r="T208" i="1"/>
  <c r="H208" i="1"/>
  <c r="I208" i="1" s="1"/>
  <c r="AU207" i="1"/>
  <c r="U207" i="1"/>
  <c r="T207" i="1"/>
  <c r="BA207" i="1" s="1"/>
  <c r="H207" i="1"/>
  <c r="I207" i="1" s="1"/>
  <c r="AU206" i="1"/>
  <c r="BA206" i="1" s="1"/>
  <c r="U206" i="1"/>
  <c r="T206" i="1"/>
  <c r="H206" i="1"/>
  <c r="I206" i="1" s="1"/>
  <c r="AU205" i="1"/>
  <c r="U205" i="1"/>
  <c r="T205" i="1"/>
  <c r="BA205" i="1" s="1"/>
  <c r="H205" i="1"/>
  <c r="I205" i="1" s="1"/>
  <c r="AV204" i="1"/>
  <c r="AU204" i="1"/>
  <c r="U204" i="1"/>
  <c r="T204" i="1"/>
  <c r="I204" i="1"/>
  <c r="H204" i="1"/>
  <c r="AV203" i="1"/>
  <c r="AU203" i="1"/>
  <c r="U203" i="1"/>
  <c r="T203" i="1"/>
  <c r="BA203" i="1" s="1"/>
  <c r="H203" i="1"/>
  <c r="I203" i="1" s="1"/>
  <c r="AV202" i="1"/>
  <c r="AU202" i="1"/>
  <c r="U202" i="1"/>
  <c r="T202" i="1"/>
  <c r="BA202" i="1" s="1"/>
  <c r="H202" i="1"/>
  <c r="I202" i="1" s="1"/>
  <c r="AV201" i="1"/>
  <c r="AU201" i="1"/>
  <c r="U201" i="1"/>
  <c r="T201" i="1"/>
  <c r="BA201" i="1" s="1"/>
  <c r="H201" i="1"/>
  <c r="I201" i="1" s="1"/>
  <c r="AV200" i="1"/>
  <c r="AU200" i="1"/>
  <c r="U200" i="1"/>
  <c r="T200" i="1"/>
  <c r="I200" i="1"/>
  <c r="H200" i="1"/>
  <c r="AV199" i="1"/>
  <c r="AU199" i="1"/>
  <c r="U199" i="1"/>
  <c r="T199" i="1"/>
  <c r="H199" i="1"/>
  <c r="I199" i="1" s="1"/>
  <c r="AU198" i="1"/>
  <c r="U198" i="1"/>
  <c r="T198" i="1"/>
  <c r="BA198" i="1" s="1"/>
  <c r="H198" i="1"/>
  <c r="I198" i="1" s="1"/>
  <c r="AU197" i="1"/>
  <c r="BA197" i="1" s="1"/>
  <c r="U197" i="1"/>
  <c r="T197" i="1"/>
  <c r="H197" i="1"/>
  <c r="I197" i="1" s="1"/>
  <c r="AU196" i="1"/>
  <c r="U196" i="1"/>
  <c r="T196" i="1"/>
  <c r="BA196" i="1" s="1"/>
  <c r="H196" i="1"/>
  <c r="I196" i="1" s="1"/>
  <c r="AU195" i="1"/>
  <c r="BA195" i="1" s="1"/>
  <c r="U195" i="1"/>
  <c r="T195" i="1"/>
  <c r="H195" i="1"/>
  <c r="I195" i="1" s="1"/>
  <c r="AU194" i="1"/>
  <c r="U194" i="1"/>
  <c r="T194" i="1"/>
  <c r="BA194" i="1" s="1"/>
  <c r="H194" i="1"/>
  <c r="I194" i="1" s="1"/>
  <c r="AV193" i="1"/>
  <c r="AU193" i="1"/>
  <c r="W193" i="1"/>
  <c r="U193" i="1"/>
  <c r="T193" i="1"/>
  <c r="BA193" i="1" s="1"/>
  <c r="H193" i="1"/>
  <c r="I193" i="1" s="1"/>
  <c r="AU192" i="1"/>
  <c r="BA192" i="1" s="1"/>
  <c r="U192" i="1"/>
  <c r="T192" i="1"/>
  <c r="H192" i="1"/>
  <c r="I192" i="1" s="1"/>
  <c r="AU191" i="1"/>
  <c r="U191" i="1"/>
  <c r="T191" i="1"/>
  <c r="BA191" i="1" s="1"/>
  <c r="H191" i="1"/>
  <c r="I191" i="1" s="1"/>
  <c r="AU190" i="1"/>
  <c r="BA190" i="1" s="1"/>
  <c r="U190" i="1"/>
  <c r="T190" i="1"/>
  <c r="H190" i="1"/>
  <c r="I190" i="1" s="1"/>
  <c r="AU189" i="1"/>
  <c r="U189" i="1"/>
  <c r="T189" i="1"/>
  <c r="BA189" i="1" s="1"/>
  <c r="H189" i="1"/>
  <c r="I189" i="1" s="1"/>
  <c r="AU188" i="1"/>
  <c r="BA188" i="1" s="1"/>
  <c r="U188" i="1"/>
  <c r="T188" i="1"/>
  <c r="H188" i="1"/>
  <c r="I188" i="1" s="1"/>
  <c r="AU187" i="1"/>
  <c r="U187" i="1"/>
  <c r="T187" i="1"/>
  <c r="BA187" i="1" s="1"/>
  <c r="H187" i="1"/>
  <c r="I187" i="1" s="1"/>
  <c r="AU186" i="1"/>
  <c r="BA186" i="1" s="1"/>
  <c r="U186" i="1"/>
  <c r="T186" i="1"/>
  <c r="H186" i="1"/>
  <c r="I186" i="1" s="1"/>
  <c r="AU185" i="1"/>
  <c r="U185" i="1"/>
  <c r="T185" i="1"/>
  <c r="BA185" i="1" s="1"/>
  <c r="H185" i="1"/>
  <c r="I185" i="1" s="1"/>
  <c r="AU184" i="1"/>
  <c r="BA184" i="1" s="1"/>
  <c r="U184" i="1"/>
  <c r="T184" i="1"/>
  <c r="H184" i="1"/>
  <c r="I184" i="1" s="1"/>
  <c r="AU183" i="1"/>
  <c r="U183" i="1"/>
  <c r="T183" i="1"/>
  <c r="BA183" i="1" s="1"/>
  <c r="H183" i="1"/>
  <c r="I183" i="1" s="1"/>
  <c r="AU182" i="1"/>
  <c r="BA182" i="1" s="1"/>
  <c r="U182" i="1"/>
  <c r="T182" i="1"/>
  <c r="H182" i="1"/>
  <c r="I182" i="1" s="1"/>
  <c r="AU181" i="1"/>
  <c r="U181" i="1"/>
  <c r="T181" i="1"/>
  <c r="BA181" i="1" s="1"/>
  <c r="H181" i="1"/>
  <c r="I181" i="1" s="1"/>
  <c r="AU180" i="1"/>
  <c r="BA180" i="1" s="1"/>
  <c r="U180" i="1"/>
  <c r="T180" i="1"/>
  <c r="H180" i="1"/>
  <c r="I180" i="1" s="1"/>
  <c r="AU179" i="1"/>
  <c r="U179" i="1"/>
  <c r="T179" i="1"/>
  <c r="BA179" i="1" s="1"/>
  <c r="H179" i="1"/>
  <c r="I179" i="1" s="1"/>
  <c r="AU178" i="1"/>
  <c r="BA178" i="1" s="1"/>
  <c r="U178" i="1"/>
  <c r="T178" i="1"/>
  <c r="H178" i="1"/>
  <c r="I178" i="1" s="1"/>
  <c r="AU177" i="1"/>
  <c r="U177" i="1"/>
  <c r="T177" i="1"/>
  <c r="BA177" i="1" s="1"/>
  <c r="H177" i="1"/>
  <c r="I177" i="1" s="1"/>
  <c r="AU176" i="1"/>
  <c r="BA176" i="1" s="1"/>
  <c r="U176" i="1"/>
  <c r="T176" i="1"/>
  <c r="H176" i="1"/>
  <c r="I176" i="1" s="1"/>
  <c r="AU175" i="1"/>
  <c r="U175" i="1"/>
  <c r="T175" i="1"/>
  <c r="BA175" i="1" s="1"/>
  <c r="H175" i="1"/>
  <c r="I175" i="1" s="1"/>
  <c r="AU174" i="1"/>
  <c r="BA174" i="1" s="1"/>
  <c r="U174" i="1"/>
  <c r="T174" i="1"/>
  <c r="H174" i="1"/>
  <c r="I174" i="1" s="1"/>
  <c r="AU173" i="1"/>
  <c r="U173" i="1"/>
  <c r="T173" i="1"/>
  <c r="BA173" i="1" s="1"/>
  <c r="H173" i="1"/>
  <c r="I173" i="1" s="1"/>
  <c r="AU172" i="1"/>
  <c r="BA172" i="1" s="1"/>
  <c r="U172" i="1"/>
  <c r="T172" i="1"/>
  <c r="H172" i="1"/>
  <c r="I172" i="1" s="1"/>
  <c r="AV171" i="1"/>
  <c r="AU171" i="1"/>
  <c r="W171" i="1"/>
  <c r="U171" i="1" s="1"/>
  <c r="T171" i="1"/>
  <c r="BA171" i="1" s="1"/>
  <c r="H171" i="1"/>
  <c r="I171" i="1" s="1"/>
  <c r="AV170" i="1"/>
  <c r="AC170" i="1"/>
  <c r="AU170" i="1" s="1"/>
  <c r="U170" i="1"/>
  <c r="T170" i="1"/>
  <c r="H170" i="1"/>
  <c r="I170" i="1" s="1"/>
  <c r="AU169" i="1"/>
  <c r="U169" i="1"/>
  <c r="T169" i="1"/>
  <c r="BA169" i="1" s="1"/>
  <c r="H169" i="1"/>
  <c r="I169" i="1" s="1"/>
  <c r="AU168" i="1"/>
  <c r="BA168" i="1" s="1"/>
  <c r="U168" i="1"/>
  <c r="T168" i="1"/>
  <c r="H168" i="1"/>
  <c r="I168" i="1" s="1"/>
  <c r="AU167" i="1"/>
  <c r="U167" i="1"/>
  <c r="T167" i="1"/>
  <c r="BA167" i="1" s="1"/>
  <c r="H167" i="1"/>
  <c r="I167" i="1" s="1"/>
  <c r="AU166" i="1"/>
  <c r="BA166" i="1" s="1"/>
  <c r="U166" i="1"/>
  <c r="T166" i="1"/>
  <c r="H166" i="1"/>
  <c r="I166" i="1" s="1"/>
  <c r="AU165" i="1"/>
  <c r="U165" i="1"/>
  <c r="T165" i="1"/>
  <c r="BA165" i="1" s="1"/>
  <c r="H165" i="1"/>
  <c r="I165" i="1" s="1"/>
  <c r="AU164" i="1"/>
  <c r="BA164" i="1" s="1"/>
  <c r="U164" i="1"/>
  <c r="T164" i="1"/>
  <c r="H164" i="1"/>
  <c r="I164" i="1" s="1"/>
  <c r="AU163" i="1"/>
  <c r="U163" i="1"/>
  <c r="T163" i="1"/>
  <c r="BA163" i="1" s="1"/>
  <c r="H163" i="1"/>
  <c r="I163" i="1" s="1"/>
  <c r="AU162" i="1"/>
  <c r="BA162" i="1" s="1"/>
  <c r="U162" i="1"/>
  <c r="T162" i="1"/>
  <c r="H162" i="1"/>
  <c r="I162" i="1" s="1"/>
  <c r="AU161" i="1"/>
  <c r="U161" i="1"/>
  <c r="T161" i="1"/>
  <c r="BA161" i="1" s="1"/>
  <c r="H161" i="1"/>
  <c r="I161" i="1" s="1"/>
  <c r="AU160" i="1"/>
  <c r="BA160" i="1" s="1"/>
  <c r="U160" i="1"/>
  <c r="T160" i="1"/>
  <c r="H160" i="1"/>
  <c r="I160" i="1" s="1"/>
  <c r="AV159" i="1"/>
  <c r="AU159" i="1"/>
  <c r="U159" i="1"/>
  <c r="T159" i="1"/>
  <c r="BA159" i="1" s="1"/>
  <c r="H159" i="1"/>
  <c r="I159" i="1" s="1"/>
  <c r="BA158" i="1"/>
  <c r="AU158" i="1"/>
  <c r="U158" i="1"/>
  <c r="T158" i="1"/>
  <c r="I158" i="1"/>
  <c r="H158" i="1"/>
  <c r="AU157" i="1"/>
  <c r="BA157" i="1" s="1"/>
  <c r="U157" i="1"/>
  <c r="T157" i="1"/>
  <c r="H157" i="1"/>
  <c r="I157" i="1" s="1"/>
  <c r="BA156" i="1"/>
  <c r="AU156" i="1"/>
  <c r="U156" i="1"/>
  <c r="T156" i="1"/>
  <c r="I156" i="1"/>
  <c r="H156" i="1"/>
  <c r="AV155" i="1"/>
  <c r="AU155" i="1"/>
  <c r="W155" i="1"/>
  <c r="U155" i="1"/>
  <c r="T155" i="1"/>
  <c r="BA155" i="1" s="1"/>
  <c r="I155" i="1"/>
  <c r="H155" i="1"/>
  <c r="AU154" i="1"/>
  <c r="BA154" i="1" s="1"/>
  <c r="U154" i="1"/>
  <c r="T154" i="1"/>
  <c r="H154" i="1"/>
  <c r="I154" i="1" s="1"/>
  <c r="BA153" i="1"/>
  <c r="AU153" i="1"/>
  <c r="U153" i="1"/>
  <c r="T153" i="1"/>
  <c r="I153" i="1"/>
  <c r="H153" i="1"/>
  <c r="AU152" i="1"/>
  <c r="BA152" i="1" s="1"/>
  <c r="U152" i="1"/>
  <c r="T152" i="1"/>
  <c r="H152" i="1"/>
  <c r="I152" i="1" s="1"/>
  <c r="BA151" i="1"/>
  <c r="AV151" i="1"/>
  <c r="AU151" i="1"/>
  <c r="W151" i="1"/>
  <c r="U151" i="1"/>
  <c r="T151" i="1"/>
  <c r="H151" i="1"/>
  <c r="I151" i="1" s="1"/>
  <c r="BA150" i="1"/>
  <c r="AU150" i="1"/>
  <c r="U150" i="1"/>
  <c r="T150" i="1"/>
  <c r="I150" i="1"/>
  <c r="H150" i="1"/>
  <c r="AV149" i="1"/>
  <c r="AU149" i="1"/>
  <c r="U149" i="1"/>
  <c r="T149" i="1"/>
  <c r="H149" i="1"/>
  <c r="I149" i="1" s="1"/>
  <c r="AV148" i="1"/>
  <c r="AU148" i="1"/>
  <c r="U148" i="1"/>
  <c r="T148" i="1"/>
  <c r="BA148" i="1" s="1"/>
  <c r="H148" i="1"/>
  <c r="I148" i="1" s="1"/>
  <c r="AV147" i="1"/>
  <c r="AU147" i="1"/>
  <c r="U147" i="1"/>
  <c r="T147" i="1"/>
  <c r="BA147" i="1" s="1"/>
  <c r="H147" i="1"/>
  <c r="I147" i="1" s="1"/>
  <c r="AV146" i="1"/>
  <c r="AU146" i="1"/>
  <c r="U146" i="1"/>
  <c r="T146" i="1"/>
  <c r="BA146" i="1" s="1"/>
  <c r="I146" i="1"/>
  <c r="H146" i="1"/>
  <c r="AV145" i="1"/>
  <c r="AU145" i="1"/>
  <c r="U145" i="1"/>
  <c r="T145" i="1"/>
  <c r="BA145" i="1" s="1"/>
  <c r="H145" i="1"/>
  <c r="I145" i="1" s="1"/>
  <c r="AV144" i="1"/>
  <c r="AU144" i="1"/>
  <c r="U144" i="1"/>
  <c r="T144" i="1"/>
  <c r="BA144" i="1" s="1"/>
  <c r="H144" i="1"/>
  <c r="I144" i="1" s="1"/>
  <c r="BA143" i="1"/>
  <c r="AU143" i="1"/>
  <c r="U143" i="1"/>
  <c r="T143" i="1"/>
  <c r="I143" i="1"/>
  <c r="H143" i="1"/>
  <c r="AU142" i="1"/>
  <c r="BA142" i="1" s="1"/>
  <c r="U142" i="1"/>
  <c r="T142" i="1"/>
  <c r="H142" i="1"/>
  <c r="I142" i="1" s="1"/>
  <c r="BA141" i="1"/>
  <c r="AU141" i="1"/>
  <c r="U141" i="1"/>
  <c r="T141" i="1"/>
  <c r="I141" i="1"/>
  <c r="H141" i="1"/>
  <c r="AU140" i="1"/>
  <c r="BA140" i="1" s="1"/>
  <c r="U140" i="1"/>
  <c r="T140" i="1"/>
  <c r="H140" i="1"/>
  <c r="I140" i="1" s="1"/>
  <c r="BA139" i="1"/>
  <c r="AU139" i="1"/>
  <c r="U139" i="1"/>
  <c r="T139" i="1"/>
  <c r="I139" i="1"/>
  <c r="H139" i="1"/>
  <c r="AU138" i="1"/>
  <c r="BA138" i="1" s="1"/>
  <c r="U138" i="1"/>
  <c r="T138" i="1"/>
  <c r="H138" i="1"/>
  <c r="I138" i="1" s="1"/>
  <c r="BA137" i="1"/>
  <c r="AU137" i="1"/>
  <c r="U137" i="1"/>
  <c r="T137" i="1"/>
  <c r="I137" i="1"/>
  <c r="H137" i="1"/>
  <c r="AV136" i="1"/>
  <c r="AU136" i="1"/>
  <c r="AC136" i="1"/>
  <c r="U136" i="1"/>
  <c r="T136" i="1"/>
  <c r="I136" i="1"/>
  <c r="H136" i="1"/>
  <c r="AU135" i="1"/>
  <c r="BA135" i="1" s="1"/>
  <c r="U135" i="1"/>
  <c r="T135" i="1"/>
  <c r="H135" i="1"/>
  <c r="I135" i="1" s="1"/>
  <c r="BA134" i="1"/>
  <c r="AU134" i="1"/>
  <c r="U134" i="1"/>
  <c r="T134" i="1"/>
  <c r="I134" i="1"/>
  <c r="H134" i="1"/>
  <c r="AU133" i="1"/>
  <c r="BA133" i="1" s="1"/>
  <c r="U133" i="1"/>
  <c r="T133" i="1"/>
  <c r="H133" i="1"/>
  <c r="I133" i="1" s="1"/>
  <c r="BA132" i="1"/>
  <c r="AU132" i="1"/>
  <c r="U132" i="1"/>
  <c r="T132" i="1"/>
  <c r="I132" i="1"/>
  <c r="H132" i="1"/>
  <c r="AU131" i="1"/>
  <c r="BA131" i="1" s="1"/>
  <c r="U131" i="1"/>
  <c r="T131" i="1"/>
  <c r="H131" i="1"/>
  <c r="I131" i="1" s="1"/>
  <c r="BA130" i="1"/>
  <c r="AU130" i="1"/>
  <c r="U130" i="1"/>
  <c r="T130" i="1"/>
  <c r="I130" i="1"/>
  <c r="H130" i="1"/>
  <c r="AU129" i="1"/>
  <c r="U129" i="1"/>
  <c r="T129" i="1"/>
  <c r="I129" i="1"/>
  <c r="AU128" i="1"/>
  <c r="BA128" i="1" s="1"/>
  <c r="U128" i="1"/>
  <c r="T128" i="1"/>
  <c r="H128" i="1"/>
  <c r="I128" i="1" s="1"/>
  <c r="AV127" i="1"/>
  <c r="AU127" i="1"/>
  <c r="U127" i="1"/>
  <c r="T127" i="1"/>
  <c r="BA127" i="1" s="1"/>
  <c r="H127" i="1"/>
  <c r="I127" i="1" s="1"/>
  <c r="AV126" i="1"/>
  <c r="AU126" i="1"/>
  <c r="U126" i="1"/>
  <c r="T126" i="1"/>
  <c r="BA126" i="1" s="1"/>
  <c r="I126" i="1"/>
  <c r="H126" i="1"/>
  <c r="AU125" i="1"/>
  <c r="BA125" i="1" s="1"/>
  <c r="U125" i="1"/>
  <c r="T125" i="1"/>
  <c r="H125" i="1"/>
  <c r="I125" i="1" s="1"/>
  <c r="BA124" i="1"/>
  <c r="AV124" i="1"/>
  <c r="AC124" i="1"/>
  <c r="AU124" i="1" s="1"/>
  <c r="U124" i="1"/>
  <c r="T124" i="1"/>
  <c r="H124" i="1"/>
  <c r="I124" i="1" s="1"/>
  <c r="AV123" i="1"/>
  <c r="AC123" i="1"/>
  <c r="AU123" i="1" s="1"/>
  <c r="BA123" i="1" s="1"/>
  <c r="U123" i="1"/>
  <c r="T123" i="1"/>
  <c r="H123" i="1"/>
  <c r="I123" i="1" s="1"/>
  <c r="BA122" i="1"/>
  <c r="AU122" i="1"/>
  <c r="U122" i="1"/>
  <c r="T122" i="1"/>
  <c r="I122" i="1"/>
  <c r="H122" i="1"/>
  <c r="AV121" i="1"/>
  <c r="AU121" i="1"/>
  <c r="U121" i="1"/>
  <c r="T121" i="1"/>
  <c r="BA121" i="1" s="1"/>
  <c r="H121" i="1"/>
  <c r="I121" i="1" s="1"/>
  <c r="AV120" i="1"/>
  <c r="AU120" i="1"/>
  <c r="U120" i="1"/>
  <c r="T120" i="1"/>
  <c r="BA120" i="1" s="1"/>
  <c r="H120" i="1"/>
  <c r="I120" i="1" s="1"/>
  <c r="BA119" i="1"/>
  <c r="AU119" i="1"/>
  <c r="U119" i="1"/>
  <c r="T119" i="1"/>
  <c r="I119" i="1"/>
  <c r="H119" i="1"/>
  <c r="AU118" i="1"/>
  <c r="BA118" i="1" s="1"/>
  <c r="U118" i="1"/>
  <c r="T118" i="1"/>
  <c r="H118" i="1"/>
  <c r="I118" i="1" s="1"/>
  <c r="AV117" i="1"/>
  <c r="AU117" i="1"/>
  <c r="U117" i="1"/>
  <c r="T117" i="1"/>
  <c r="BA117" i="1" s="1"/>
  <c r="H117" i="1"/>
  <c r="I117" i="1" s="1"/>
  <c r="AU116" i="1"/>
  <c r="BA116" i="1" s="1"/>
  <c r="U116" i="1"/>
  <c r="T116" i="1"/>
  <c r="H116" i="1"/>
  <c r="I116" i="1" s="1"/>
  <c r="AU115" i="1"/>
  <c r="U115" i="1"/>
  <c r="T115" i="1"/>
  <c r="BA115" i="1" s="1"/>
  <c r="H115" i="1"/>
  <c r="I115" i="1" s="1"/>
  <c r="AV114" i="1"/>
  <c r="AU114" i="1"/>
  <c r="U114" i="1"/>
  <c r="T114" i="1"/>
  <c r="I114" i="1"/>
  <c r="H114" i="1"/>
  <c r="AV113" i="1"/>
  <c r="AU113" i="1"/>
  <c r="U113" i="1"/>
  <c r="T113" i="1"/>
  <c r="BA113" i="1" s="1"/>
  <c r="H113" i="1"/>
  <c r="I113" i="1" s="1"/>
  <c r="AU112" i="1"/>
  <c r="U112" i="1"/>
  <c r="T112" i="1"/>
  <c r="BA112" i="1" s="1"/>
  <c r="H112" i="1"/>
  <c r="I112" i="1" s="1"/>
  <c r="AU111" i="1"/>
  <c r="BA111" i="1" s="1"/>
  <c r="U111" i="1"/>
  <c r="T111" i="1"/>
  <c r="H111" i="1"/>
  <c r="I111" i="1" s="1"/>
  <c r="AU110" i="1"/>
  <c r="U110" i="1"/>
  <c r="T110" i="1"/>
  <c r="BA110" i="1" s="1"/>
  <c r="H110" i="1"/>
  <c r="I110" i="1" s="1"/>
  <c r="AU109" i="1"/>
  <c r="BA109" i="1" s="1"/>
  <c r="U109" i="1"/>
  <c r="T109" i="1"/>
  <c r="H109" i="1"/>
  <c r="I109" i="1" s="1"/>
  <c r="AU108" i="1"/>
  <c r="U108" i="1"/>
  <c r="T108" i="1"/>
  <c r="BA108" i="1" s="1"/>
  <c r="H108" i="1"/>
  <c r="I108" i="1" s="1"/>
  <c r="AU107" i="1"/>
  <c r="BA107" i="1" s="1"/>
  <c r="U107" i="1"/>
  <c r="T107" i="1"/>
  <c r="H107" i="1"/>
  <c r="I107" i="1" s="1"/>
  <c r="AU106" i="1"/>
  <c r="U106" i="1"/>
  <c r="T106" i="1"/>
  <c r="BA106" i="1" s="1"/>
  <c r="H106" i="1"/>
  <c r="I106" i="1" s="1"/>
  <c r="AU105" i="1"/>
  <c r="BA105" i="1" s="1"/>
  <c r="U105" i="1"/>
  <c r="T105" i="1"/>
  <c r="H105" i="1"/>
  <c r="I105" i="1" s="1"/>
  <c r="AU104" i="1"/>
  <c r="U104" i="1"/>
  <c r="T104" i="1"/>
  <c r="BA104" i="1" s="1"/>
  <c r="H104" i="1"/>
  <c r="I104" i="1" s="1"/>
  <c r="AU103" i="1"/>
  <c r="V103" i="1"/>
  <c r="U103" i="1"/>
  <c r="T103" i="1"/>
  <c r="BA103" i="1" s="1"/>
  <c r="I103" i="1"/>
  <c r="H103" i="1"/>
  <c r="AU102" i="1"/>
  <c r="BA102" i="1" s="1"/>
  <c r="U102" i="1"/>
  <c r="T102" i="1"/>
  <c r="H102" i="1"/>
  <c r="I102" i="1" s="1"/>
  <c r="BA101" i="1"/>
  <c r="AU101" i="1"/>
  <c r="U101" i="1"/>
  <c r="T101" i="1"/>
  <c r="I101" i="1"/>
  <c r="H101" i="1"/>
  <c r="AU100" i="1"/>
  <c r="BA100" i="1" s="1"/>
  <c r="U100" i="1"/>
  <c r="T100" i="1"/>
  <c r="H100" i="1"/>
  <c r="I100" i="1" s="1"/>
  <c r="AU99" i="1"/>
  <c r="U99" i="1"/>
  <c r="T99" i="1"/>
  <c r="BA99" i="1" s="1"/>
  <c r="I99" i="1"/>
  <c r="H99" i="1"/>
  <c r="AU98" i="1"/>
  <c r="BA98" i="1" s="1"/>
  <c r="U98" i="1"/>
  <c r="T98" i="1"/>
  <c r="H98" i="1"/>
  <c r="I98" i="1" s="1"/>
  <c r="BA97" i="1"/>
  <c r="AV97" i="1"/>
  <c r="AU97" i="1"/>
  <c r="W97" i="1"/>
  <c r="U97" i="1"/>
  <c r="T97" i="1"/>
  <c r="H97" i="1"/>
  <c r="I97" i="1" s="1"/>
  <c r="AV96" i="1"/>
  <c r="AU96" i="1"/>
  <c r="U96" i="1"/>
  <c r="T96" i="1"/>
  <c r="BA96" i="1" s="1"/>
  <c r="H96" i="1"/>
  <c r="I96" i="1" s="1"/>
  <c r="BA95" i="1"/>
  <c r="AU95" i="1"/>
  <c r="U95" i="1"/>
  <c r="T95" i="1"/>
  <c r="I95" i="1"/>
  <c r="H95" i="1"/>
  <c r="AU94" i="1"/>
  <c r="U94" i="1"/>
  <c r="T94" i="1"/>
  <c r="BA94" i="1" s="1"/>
  <c r="H94" i="1"/>
  <c r="I94" i="1" s="1"/>
  <c r="AU93" i="1"/>
  <c r="BA93" i="1" s="1"/>
  <c r="U93" i="1"/>
  <c r="T93" i="1"/>
  <c r="H93" i="1"/>
  <c r="I93" i="1" s="1"/>
  <c r="AV92" i="1"/>
  <c r="AU92" i="1"/>
  <c r="W92" i="1"/>
  <c r="U92" i="1" s="1"/>
  <c r="T92" i="1"/>
  <c r="BA92" i="1" s="1"/>
  <c r="I92" i="1"/>
  <c r="H92" i="1"/>
  <c r="AU91" i="1"/>
  <c r="U91" i="1"/>
  <c r="T91" i="1"/>
  <c r="BA91" i="1" s="1"/>
  <c r="H91" i="1"/>
  <c r="I91" i="1" s="1"/>
  <c r="AU90" i="1"/>
  <c r="BA90" i="1" s="1"/>
  <c r="U90" i="1"/>
  <c r="T90" i="1"/>
  <c r="H90" i="1"/>
  <c r="I90" i="1" s="1"/>
  <c r="AU89" i="1"/>
  <c r="U89" i="1"/>
  <c r="T89" i="1"/>
  <c r="BA89" i="1" s="1"/>
  <c r="H89" i="1"/>
  <c r="I89" i="1" s="1"/>
  <c r="AU88" i="1"/>
  <c r="U88" i="1"/>
  <c r="T88" i="1"/>
  <c r="BA88" i="1" s="1"/>
  <c r="I88" i="1"/>
  <c r="H88" i="1"/>
  <c r="AU87" i="1"/>
  <c r="U87" i="1"/>
  <c r="T87" i="1"/>
  <c r="BA87" i="1" s="1"/>
  <c r="H87" i="1"/>
  <c r="I87" i="1" s="1"/>
  <c r="AU86" i="1"/>
  <c r="BA86" i="1" s="1"/>
  <c r="U86" i="1"/>
  <c r="T86" i="1"/>
  <c r="H86" i="1"/>
  <c r="I86" i="1" s="1"/>
  <c r="AU85" i="1"/>
  <c r="U85" i="1"/>
  <c r="T85" i="1"/>
  <c r="H85" i="1"/>
  <c r="I85" i="1" s="1"/>
  <c r="AV84" i="1"/>
  <c r="AU84" i="1"/>
  <c r="U84" i="1"/>
  <c r="T84" i="1"/>
  <c r="BA84" i="1" s="1"/>
  <c r="I84" i="1"/>
  <c r="H84" i="1"/>
  <c r="AV83" i="1"/>
  <c r="AU83" i="1"/>
  <c r="U83" i="1"/>
  <c r="T83" i="1"/>
  <c r="BA83" i="1" s="1"/>
  <c r="I83" i="1"/>
  <c r="H83" i="1"/>
  <c r="AV82" i="1"/>
  <c r="AU82" i="1"/>
  <c r="U82" i="1"/>
  <c r="T82" i="1"/>
  <c r="H82" i="1"/>
  <c r="I82" i="1" s="1"/>
  <c r="AU81" i="1"/>
  <c r="U81" i="1"/>
  <c r="T81" i="1"/>
  <c r="BA81" i="1" s="1"/>
  <c r="I81" i="1"/>
  <c r="H81" i="1"/>
  <c r="AV80" i="1"/>
  <c r="AU80" i="1"/>
  <c r="U80" i="1"/>
  <c r="T80" i="1"/>
  <c r="BA80" i="1" s="1"/>
  <c r="I80" i="1"/>
  <c r="H80" i="1"/>
  <c r="AV79" i="1"/>
  <c r="AU79" i="1"/>
  <c r="W79" i="1"/>
  <c r="U79" i="1" s="1"/>
  <c r="T79" i="1"/>
  <c r="BA79" i="1" s="1"/>
  <c r="I79" i="1"/>
  <c r="H79" i="1"/>
  <c r="AU78" i="1"/>
  <c r="U78" i="1"/>
  <c r="T78" i="1"/>
  <c r="BA78" i="1" s="1"/>
  <c r="H78" i="1"/>
  <c r="I78" i="1" s="1"/>
  <c r="BA77" i="1"/>
  <c r="AU77" i="1"/>
  <c r="U77" i="1"/>
  <c r="T77" i="1"/>
  <c r="I77" i="1"/>
  <c r="H77" i="1"/>
  <c r="AU76" i="1"/>
  <c r="U76" i="1"/>
  <c r="T76" i="1"/>
  <c r="BA76" i="1" s="1"/>
  <c r="H76" i="1"/>
  <c r="I76" i="1" s="1"/>
  <c r="BA75" i="1"/>
  <c r="AU75" i="1"/>
  <c r="U75" i="1"/>
  <c r="T75" i="1"/>
  <c r="I75" i="1"/>
  <c r="H75" i="1"/>
  <c r="AU74" i="1"/>
  <c r="U74" i="1"/>
  <c r="T74" i="1"/>
  <c r="BA74" i="1" s="1"/>
  <c r="H74" i="1"/>
  <c r="I74" i="1" s="1"/>
  <c r="BA73" i="1"/>
  <c r="AU73" i="1"/>
  <c r="U73" i="1"/>
  <c r="T73" i="1"/>
  <c r="I73" i="1"/>
  <c r="H73" i="1"/>
  <c r="AU72" i="1"/>
  <c r="U72" i="1"/>
  <c r="T72" i="1"/>
  <c r="BA72" i="1" s="1"/>
  <c r="H72" i="1"/>
  <c r="I72" i="1" s="1"/>
  <c r="BA71" i="1"/>
  <c r="AV71" i="1"/>
  <c r="AU71" i="1"/>
  <c r="W71" i="1"/>
  <c r="U71" i="1"/>
  <c r="T71" i="1"/>
  <c r="H71" i="1"/>
  <c r="I71" i="1" s="1"/>
  <c r="BA70" i="1"/>
  <c r="AU70" i="1"/>
  <c r="U70" i="1"/>
  <c r="T70" i="1"/>
  <c r="I70" i="1"/>
  <c r="H70" i="1"/>
  <c r="AU69" i="1"/>
  <c r="U69" i="1"/>
  <c r="T69" i="1"/>
  <c r="BA69" i="1" s="1"/>
  <c r="H69" i="1"/>
  <c r="I69" i="1" s="1"/>
  <c r="BA68" i="1"/>
  <c r="AU68" i="1"/>
  <c r="U68" i="1"/>
  <c r="T68" i="1"/>
  <c r="I68" i="1"/>
  <c r="H68" i="1"/>
  <c r="AU67" i="1"/>
  <c r="U67" i="1"/>
  <c r="T67" i="1"/>
  <c r="BA67" i="1" s="1"/>
  <c r="H67" i="1"/>
  <c r="I67" i="1" s="1"/>
  <c r="AV66" i="1"/>
  <c r="AU66" i="1"/>
  <c r="U66" i="1"/>
  <c r="T66" i="1"/>
  <c r="BA66" i="1" s="1"/>
  <c r="I66" i="1"/>
  <c r="H66" i="1"/>
  <c r="AU65" i="1"/>
  <c r="BA65" i="1" s="1"/>
  <c r="U65" i="1"/>
  <c r="T65" i="1"/>
  <c r="H65" i="1"/>
  <c r="I65" i="1" s="1"/>
  <c r="AU64" i="1"/>
  <c r="U64" i="1"/>
  <c r="T64" i="1"/>
  <c r="BA64" i="1" s="1"/>
  <c r="I64" i="1"/>
  <c r="H64" i="1"/>
  <c r="AU63" i="1"/>
  <c r="U63" i="1"/>
  <c r="T63" i="1"/>
  <c r="BA63" i="1" s="1"/>
  <c r="H63" i="1"/>
  <c r="I63" i="1" s="1"/>
  <c r="AU62" i="1"/>
  <c r="U62" i="1"/>
  <c r="T62" i="1"/>
  <c r="BA62" i="1" s="1"/>
  <c r="I62" i="1"/>
  <c r="H62" i="1"/>
  <c r="AU61" i="1"/>
  <c r="U61" i="1"/>
  <c r="T61" i="1"/>
  <c r="BA61" i="1" s="1"/>
  <c r="H61" i="1"/>
  <c r="I61" i="1" s="1"/>
  <c r="AU60" i="1"/>
  <c r="U60" i="1"/>
  <c r="T60" i="1"/>
  <c r="BA60" i="1" s="1"/>
  <c r="I60" i="1"/>
  <c r="H60" i="1"/>
  <c r="AV59" i="1"/>
  <c r="AU59" i="1"/>
  <c r="U59" i="1"/>
  <c r="T59" i="1"/>
  <c r="BA59" i="1" s="1"/>
  <c r="I59" i="1"/>
  <c r="H59" i="1"/>
  <c r="AV58" i="1"/>
  <c r="AU58" i="1"/>
  <c r="W58" i="1"/>
  <c r="U58" i="1" s="1"/>
  <c r="T58" i="1"/>
  <c r="BA58" i="1" s="1"/>
  <c r="I58" i="1"/>
  <c r="H58" i="1"/>
  <c r="AV57" i="1"/>
  <c r="AU57" i="1"/>
  <c r="U57" i="1"/>
  <c r="T57" i="1"/>
  <c r="BA57" i="1" s="1"/>
  <c r="H57" i="1"/>
  <c r="I57" i="1" s="1"/>
  <c r="AU56" i="1"/>
  <c r="U56" i="1"/>
  <c r="T56" i="1"/>
  <c r="BA56" i="1" s="1"/>
  <c r="I56" i="1"/>
  <c r="H56" i="1"/>
  <c r="AU55" i="1"/>
  <c r="U55" i="1"/>
  <c r="T55" i="1"/>
  <c r="BA55" i="1" s="1"/>
  <c r="H55" i="1"/>
  <c r="I55" i="1" s="1"/>
  <c r="BA54" i="1"/>
  <c r="AV54" i="1"/>
  <c r="AU54" i="1"/>
  <c r="W54" i="1"/>
  <c r="U54" i="1" s="1"/>
  <c r="T54" i="1"/>
  <c r="H54" i="1"/>
  <c r="I54" i="1" s="1"/>
  <c r="AU53" i="1"/>
  <c r="U53" i="1"/>
  <c r="T53" i="1"/>
  <c r="BA53" i="1" s="1"/>
  <c r="I53" i="1"/>
  <c r="H53" i="1"/>
  <c r="AU52" i="1"/>
  <c r="U52" i="1"/>
  <c r="T52" i="1"/>
  <c r="BA52" i="1" s="1"/>
  <c r="H52" i="1"/>
  <c r="I52" i="1" s="1"/>
  <c r="AU51" i="1"/>
  <c r="U51" i="1"/>
  <c r="T51" i="1"/>
  <c r="BA51" i="1" s="1"/>
  <c r="I51" i="1"/>
  <c r="H51" i="1"/>
  <c r="AU50" i="1"/>
  <c r="U50" i="1"/>
  <c r="T50" i="1"/>
  <c r="BA50" i="1" s="1"/>
  <c r="H50" i="1"/>
  <c r="I50" i="1" s="1"/>
  <c r="AU49" i="1"/>
  <c r="U49" i="1"/>
  <c r="T49" i="1"/>
  <c r="BA49" i="1" s="1"/>
  <c r="I49" i="1"/>
  <c r="H49" i="1"/>
  <c r="AU48" i="1"/>
  <c r="U48" i="1"/>
  <c r="T48" i="1"/>
  <c r="BA48" i="1" s="1"/>
  <c r="H48" i="1"/>
  <c r="I48" i="1" s="1"/>
  <c r="AU47" i="1"/>
  <c r="U47" i="1"/>
  <c r="T47" i="1"/>
  <c r="BA47" i="1" s="1"/>
  <c r="I47" i="1"/>
  <c r="H47" i="1"/>
  <c r="AU46" i="1"/>
  <c r="U46" i="1"/>
  <c r="T46" i="1"/>
  <c r="BA46" i="1" s="1"/>
  <c r="H46" i="1"/>
  <c r="I46" i="1" s="1"/>
  <c r="AU45" i="1"/>
  <c r="U45" i="1"/>
  <c r="T45" i="1"/>
  <c r="BA45" i="1" s="1"/>
  <c r="I45" i="1"/>
  <c r="H45" i="1"/>
  <c r="AU44" i="1"/>
  <c r="U44" i="1"/>
  <c r="T44" i="1"/>
  <c r="BA44" i="1" s="1"/>
  <c r="H44" i="1"/>
  <c r="I44" i="1" s="1"/>
  <c r="AU43" i="1"/>
  <c r="U43" i="1"/>
  <c r="T43" i="1"/>
  <c r="BA43" i="1" s="1"/>
  <c r="I43" i="1"/>
  <c r="H43" i="1"/>
  <c r="AU42" i="1"/>
  <c r="U42" i="1"/>
  <c r="T42" i="1"/>
  <c r="BA42" i="1" s="1"/>
  <c r="H42" i="1"/>
  <c r="I42" i="1" s="1"/>
  <c r="AU41" i="1"/>
  <c r="U41" i="1"/>
  <c r="T41" i="1"/>
  <c r="BA41" i="1" s="1"/>
  <c r="I41" i="1"/>
  <c r="H41" i="1"/>
  <c r="AU40" i="1"/>
  <c r="U40" i="1"/>
  <c r="T40" i="1"/>
  <c r="BA40" i="1" s="1"/>
  <c r="H40" i="1"/>
  <c r="I40" i="1" s="1"/>
  <c r="AU39" i="1"/>
  <c r="U39" i="1"/>
  <c r="T39" i="1"/>
  <c r="BA39" i="1" s="1"/>
  <c r="I39" i="1"/>
  <c r="H39" i="1"/>
  <c r="AU38" i="1"/>
  <c r="U38" i="1"/>
  <c r="T38" i="1"/>
  <c r="BA38" i="1" s="1"/>
  <c r="H38" i="1"/>
  <c r="I38" i="1" s="1"/>
  <c r="AU37" i="1"/>
  <c r="U37" i="1"/>
  <c r="T37" i="1"/>
  <c r="BA37" i="1" s="1"/>
  <c r="I37" i="1"/>
  <c r="H37" i="1"/>
  <c r="AU36" i="1"/>
  <c r="U36" i="1"/>
  <c r="T36" i="1"/>
  <c r="BA36" i="1" s="1"/>
  <c r="H36" i="1"/>
  <c r="I36" i="1" s="1"/>
  <c r="AV35" i="1"/>
  <c r="AU35" i="1"/>
  <c r="U35" i="1"/>
  <c r="T35" i="1"/>
  <c r="BA35" i="1" s="1"/>
  <c r="I35" i="1"/>
  <c r="H35" i="1"/>
  <c r="BA34" i="1"/>
  <c r="AU34" i="1"/>
  <c r="U34" i="1"/>
  <c r="T34" i="1"/>
  <c r="I34" i="1"/>
  <c r="H34" i="1"/>
  <c r="AU33" i="1"/>
  <c r="U33" i="1"/>
  <c r="T33" i="1"/>
  <c r="BA33" i="1" s="1"/>
  <c r="I33" i="1"/>
  <c r="H33" i="1"/>
  <c r="BA32" i="1"/>
  <c r="AU32" i="1"/>
  <c r="U32" i="1"/>
  <c r="T32" i="1"/>
  <c r="I32" i="1"/>
  <c r="H32" i="1"/>
  <c r="AU31" i="1"/>
  <c r="U31" i="1"/>
  <c r="T31" i="1"/>
  <c r="BA31" i="1" s="1"/>
  <c r="I31" i="1"/>
  <c r="H31" i="1"/>
  <c r="BA30" i="1"/>
  <c r="AU30" i="1"/>
  <c r="U30" i="1"/>
  <c r="T30" i="1"/>
  <c r="I30" i="1"/>
  <c r="H30" i="1"/>
  <c r="AU29" i="1"/>
  <c r="U29" i="1"/>
  <c r="T29" i="1"/>
  <c r="BA29" i="1" s="1"/>
  <c r="I29" i="1"/>
  <c r="H29" i="1"/>
  <c r="BA28" i="1"/>
  <c r="AV28" i="1"/>
  <c r="AU28" i="1"/>
  <c r="W28" i="1"/>
  <c r="U28" i="1"/>
  <c r="T28" i="1"/>
  <c r="I28" i="1"/>
  <c r="H28" i="1"/>
  <c r="BA27" i="1"/>
  <c r="AU27" i="1"/>
  <c r="U27" i="1"/>
  <c r="T27" i="1"/>
  <c r="I27" i="1"/>
  <c r="H27" i="1"/>
  <c r="AV26" i="1"/>
  <c r="AU26" i="1"/>
  <c r="BA26" i="1" s="1"/>
  <c r="W26" i="1"/>
  <c r="U26" i="1" s="1"/>
  <c r="T26" i="1"/>
  <c r="I26" i="1"/>
  <c r="H26" i="1"/>
  <c r="AU25" i="1"/>
  <c r="U25" i="1"/>
  <c r="T25" i="1"/>
  <c r="BA25" i="1" s="1"/>
  <c r="I25" i="1"/>
  <c r="H25" i="1"/>
  <c r="BA24" i="1"/>
  <c r="AU24" i="1"/>
  <c r="U24" i="1"/>
  <c r="T24" i="1"/>
  <c r="I24" i="1"/>
  <c r="H24" i="1"/>
  <c r="AU23" i="1"/>
  <c r="U23" i="1"/>
  <c r="T23" i="1"/>
  <c r="BA23" i="1" s="1"/>
  <c r="I23" i="1"/>
  <c r="H23" i="1"/>
  <c r="BA22" i="1"/>
  <c r="AU22" i="1"/>
  <c r="U22" i="1"/>
  <c r="T22" i="1"/>
  <c r="I22" i="1"/>
  <c r="H22" i="1"/>
  <c r="AV21" i="1"/>
  <c r="AU21" i="1"/>
  <c r="BA21" i="1" s="1"/>
  <c r="W21" i="1"/>
  <c r="U21" i="1" s="1"/>
  <c r="T21" i="1"/>
  <c r="I21" i="1"/>
  <c r="H21" i="1"/>
  <c r="AU20" i="1"/>
  <c r="U20" i="1"/>
  <c r="T20" i="1"/>
  <c r="BA20" i="1" s="1"/>
  <c r="I20" i="1"/>
  <c r="H20" i="1"/>
  <c r="BA19" i="1"/>
  <c r="AU19" i="1"/>
  <c r="U19" i="1"/>
  <c r="T19" i="1"/>
  <c r="I19" i="1"/>
  <c r="H19" i="1"/>
  <c r="AU18" i="1"/>
  <c r="U18" i="1"/>
  <c r="T18" i="1"/>
  <c r="BA18" i="1" s="1"/>
  <c r="I18" i="1"/>
  <c r="H18" i="1"/>
  <c r="BA17" i="1"/>
  <c r="AU17" i="1"/>
  <c r="U17" i="1"/>
  <c r="T17" i="1"/>
  <c r="I17" i="1"/>
  <c r="H17" i="1"/>
  <c r="AU16" i="1"/>
  <c r="U16" i="1"/>
  <c r="T16" i="1"/>
  <c r="BA16" i="1" s="1"/>
  <c r="I16" i="1"/>
  <c r="H16" i="1"/>
  <c r="BA15" i="1"/>
  <c r="AV15" i="1"/>
  <c r="AU15" i="1"/>
  <c r="W15" i="1"/>
  <c r="U15" i="1"/>
  <c r="T15" i="1"/>
  <c r="I15" i="1"/>
  <c r="H15" i="1"/>
  <c r="BA14" i="1"/>
  <c r="AU14" i="1"/>
  <c r="U14" i="1"/>
  <c r="T14" i="1"/>
  <c r="I14" i="1"/>
  <c r="H14" i="1"/>
  <c r="AU13" i="1"/>
  <c r="U13" i="1"/>
  <c r="T13" i="1"/>
  <c r="BA13" i="1" s="1"/>
  <c r="H13" i="1"/>
  <c r="I13" i="1" s="1"/>
  <c r="BA12" i="1"/>
  <c r="AU12" i="1"/>
  <c r="U12" i="1"/>
  <c r="T12" i="1"/>
  <c r="I12" i="1"/>
  <c r="H12" i="1"/>
  <c r="AV11" i="1"/>
  <c r="AU11" i="1"/>
  <c r="W11" i="1"/>
  <c r="U11" i="1" s="1"/>
  <c r="T11" i="1"/>
  <c r="BA11" i="1" s="1"/>
  <c r="I11" i="1"/>
  <c r="H11" i="1"/>
  <c r="AV10" i="1"/>
  <c r="AU10" i="1"/>
  <c r="AC10" i="1"/>
  <c r="W10" i="1"/>
  <c r="U10" i="1" s="1"/>
  <c r="T10" i="1"/>
  <c r="BA10" i="1" s="1"/>
  <c r="I10" i="1"/>
  <c r="H10" i="1"/>
  <c r="AV9" i="1"/>
  <c r="AU9" i="1"/>
  <c r="W9" i="1"/>
  <c r="U9" i="1" s="1"/>
  <c r="T9" i="1"/>
  <c r="BA9" i="1" s="1"/>
  <c r="I9" i="1"/>
  <c r="H9" i="1"/>
  <c r="AU8" i="1"/>
  <c r="U8" i="1"/>
  <c r="T8" i="1"/>
  <c r="BA8" i="1" s="1"/>
  <c r="H8" i="1"/>
  <c r="I8" i="1" s="1"/>
  <c r="AU7" i="1"/>
  <c r="U7" i="1"/>
  <c r="T7" i="1"/>
  <c r="BA7" i="1" s="1"/>
  <c r="I7" i="1"/>
  <c r="H7" i="1"/>
  <c r="AU6" i="1"/>
  <c r="U6" i="1"/>
  <c r="T6" i="1"/>
  <c r="BA6" i="1" s="1"/>
  <c r="H6" i="1"/>
  <c r="I6" i="1" s="1"/>
  <c r="BC5" i="1"/>
  <c r="AU5" i="1"/>
  <c r="U5" i="1"/>
  <c r="T5" i="1"/>
  <c r="BA5" i="1" s="1"/>
  <c r="H5" i="1"/>
  <c r="I5" i="1" s="1"/>
  <c r="AV4" i="1"/>
  <c r="AU4" i="1"/>
  <c r="U4" i="1"/>
  <c r="T4" i="1"/>
  <c r="BA4" i="1" s="1"/>
  <c r="I4" i="1"/>
  <c r="H4" i="1"/>
  <c r="AU3" i="1"/>
  <c r="U3" i="1"/>
  <c r="T3" i="1"/>
  <c r="BA3" i="1" s="1"/>
  <c r="H3" i="1"/>
  <c r="I3" i="1" s="1"/>
  <c r="AU2" i="1"/>
  <c r="U2" i="1"/>
  <c r="T2" i="1"/>
  <c r="BA2" i="1" s="1"/>
  <c r="I2" i="1"/>
  <c r="H2" i="1"/>
  <c r="BA85" i="1" l="1"/>
  <c r="BA200" i="1"/>
  <c r="BA82" i="1"/>
  <c r="BA114" i="1"/>
  <c r="BA136" i="1"/>
  <c r="BA149" i="1"/>
  <c r="BA170" i="1"/>
  <c r="BA199" i="1"/>
  <c r="BA204" i="1"/>
  <c r="BA216" i="1"/>
  <c r="BA293" i="1"/>
  <c r="BA217" i="1"/>
  <c r="BA218" i="1"/>
  <c r="BA219" i="1"/>
  <c r="BA234" i="1"/>
  <c r="BA281" i="1"/>
  <c r="BA283" i="1"/>
  <c r="BA286" i="1"/>
  <c r="BA288" i="1"/>
  <c r="BA325" i="1"/>
  <c r="BA331" i="1"/>
  <c r="BA352" i="1"/>
  <c r="BA237" i="1"/>
  <c r="BA239" i="1"/>
  <c r="BA306" i="1"/>
  <c r="BA330" i="1"/>
  <c r="BA348" i="1"/>
  <c r="BA375" i="1"/>
  <c r="BA398" i="1"/>
  <c r="BA429" i="1"/>
  <c r="BA436" i="1"/>
  <c r="BA342" i="1"/>
  <c r="BA380" i="1"/>
  <c r="BA392" i="1"/>
  <c r="BA432" i="1"/>
  <c r="BA345" i="1"/>
  <c r="BA374" i="1"/>
  <c r="BA437" i="1"/>
</calcChain>
</file>

<file path=xl/sharedStrings.xml><?xml version="1.0" encoding="utf-8"?>
<sst xmlns="http://schemas.openxmlformats.org/spreadsheetml/2006/main" count="6538" uniqueCount="2170">
  <si>
    <t>SERIAL NO.</t>
  </si>
  <si>
    <t>APRIL 2025 SALARY Department</t>
  </si>
  <si>
    <t>Designation</t>
  </si>
  <si>
    <t>Emp Name</t>
  </si>
  <si>
    <t>TOTAL DAYS</t>
  </si>
  <si>
    <t>Presents (P)</t>
  </si>
  <si>
    <t>Absents (A)</t>
  </si>
  <si>
    <t>Absents (P) DEDUCTION AMOUNT</t>
  </si>
  <si>
    <t xml:space="preserve">Presents Late </t>
  </si>
  <si>
    <t>PL</t>
  </si>
  <si>
    <r>
      <rPr>
        <sz val="10"/>
        <color theme="1"/>
        <rFont val="Calibri"/>
      </rPr>
      <t>Presents Half (P</t>
    </r>
    <r>
      <rPr>
        <sz val="7"/>
        <color rgb="FFFF0000"/>
        <rFont val="Calibri"/>
      </rPr>
      <t>H</t>
    </r>
    <r>
      <rPr>
        <sz val="10"/>
        <color theme="1"/>
        <rFont val="Calibri"/>
      </rPr>
      <t>)</t>
    </r>
  </si>
  <si>
    <t>Gazette</t>
  </si>
  <si>
    <t>Absent (A)</t>
  </si>
  <si>
    <t>Weekend (A)</t>
  </si>
  <si>
    <t>Unpaid Leave</t>
  </si>
  <si>
    <t>Basic SALARY</t>
  </si>
  <si>
    <t>LATE DEDUCTION AMOUNT</t>
  </si>
  <si>
    <t>TOTAL PRESENT EXPENSE</t>
  </si>
  <si>
    <t>Present Amount</t>
  </si>
  <si>
    <t>Late) PAID  Amount</t>
  </si>
  <si>
    <t>Present (Half) Amount</t>
  </si>
  <si>
    <t>Gazette Amount</t>
  </si>
  <si>
    <t>Weekend Fine</t>
  </si>
  <si>
    <t>Over Time Paid</t>
  </si>
  <si>
    <t>Loan Deduction</t>
  </si>
  <si>
    <t>Food Bills</t>
  </si>
  <si>
    <t>Fine &amp; Penalties</t>
  </si>
  <si>
    <t>EOBI</t>
  </si>
  <si>
    <t>Advances</t>
  </si>
  <si>
    <t>Penalties</t>
  </si>
  <si>
    <t>Shirt Charges</t>
  </si>
  <si>
    <t>Breakage</t>
  </si>
  <si>
    <t>F&amp;F</t>
  </si>
  <si>
    <t>Other Detection</t>
  </si>
  <si>
    <t>Arrear Amount</t>
  </si>
  <si>
    <t>Extra day</t>
  </si>
  <si>
    <t>Monthly Incentive</t>
  </si>
  <si>
    <t>Total Number of Designs</t>
  </si>
  <si>
    <t>Quote</t>
  </si>
  <si>
    <t>JB</t>
  </si>
  <si>
    <t>Edits/Revision</t>
  </si>
  <si>
    <t>Designs Checking</t>
  </si>
  <si>
    <t>Appreciation</t>
  </si>
  <si>
    <t>TOTAL DEDUCTION</t>
  </si>
  <si>
    <t>NET PAYABLE</t>
  </si>
  <si>
    <t>SIGNATURE</t>
  </si>
  <si>
    <t>PAID DATE</t>
  </si>
  <si>
    <t>ISSUES</t>
  </si>
  <si>
    <t>CHECK BREAKAGE</t>
  </si>
  <si>
    <t>CHECK NET PAYABLE</t>
  </si>
  <si>
    <t>COMMENTS</t>
  </si>
  <si>
    <t>Accounts</t>
  </si>
  <si>
    <t>Account Assistant</t>
  </si>
  <si>
    <t>SYED M.REHMAN</t>
  </si>
  <si>
    <t>PAID</t>
  </si>
  <si>
    <t>Finance Manager</t>
  </si>
  <si>
    <t>Imran anwer Ali</t>
  </si>
  <si>
    <t>Accounts Assistant</t>
  </si>
  <si>
    <t>Naveed zafar</t>
  </si>
  <si>
    <t>Admin</t>
  </si>
  <si>
    <t>office boy</t>
  </si>
  <si>
    <t>MUHAMMAD HUSSAIN</t>
  </si>
  <si>
    <t>OPERATION MANAGER</t>
  </si>
  <si>
    <t>JAMIL ABDUL AZIZ</t>
  </si>
  <si>
    <t>CHEF</t>
  </si>
  <si>
    <t>WASEEM ZAIB</t>
  </si>
  <si>
    <t>Imam</t>
  </si>
  <si>
    <t>FAZAL RAHEEM</t>
  </si>
  <si>
    <t>HR Officer</t>
  </si>
  <si>
    <t>SYED AYAZ UL HAQ</t>
  </si>
  <si>
    <t>Supervisor</t>
  </si>
  <si>
    <t>Uzair Ahmed Khan</t>
  </si>
  <si>
    <t>HR Manager</t>
  </si>
  <si>
    <t>Zohaib Awan</t>
  </si>
  <si>
    <t>OFFICE BOY</t>
  </si>
  <si>
    <t>MUHAMMED RAMZAN</t>
  </si>
  <si>
    <t>Imam Masjid</t>
  </si>
  <si>
    <t>Muhammed kaleem</t>
  </si>
  <si>
    <t>G.M</t>
  </si>
  <si>
    <t>Syed Safdar Hussain</t>
  </si>
  <si>
    <t>Assembler, &amp; Laundry</t>
  </si>
  <si>
    <t>Assembler Incharge</t>
  </si>
  <si>
    <t>AQIB KHAN</t>
  </si>
  <si>
    <t>LAUNDRY</t>
  </si>
  <si>
    <t>ARBAZ KHAN</t>
  </si>
  <si>
    <t>MOHSIN KHAN</t>
  </si>
  <si>
    <t>SOHAIL KHAN</t>
  </si>
  <si>
    <t>Assembler Helper</t>
  </si>
  <si>
    <t>ABDULLAH</t>
  </si>
  <si>
    <t>ASSEMBLER</t>
  </si>
  <si>
    <t>ARSALAN KHAN</t>
  </si>
  <si>
    <t>KAMRAN</t>
  </si>
  <si>
    <t>MUHAMMAD ROMAN</t>
  </si>
  <si>
    <t>ASSEMBLER INCHARGE</t>
  </si>
  <si>
    <t>RAO NOMAN ALI</t>
  </si>
  <si>
    <t>FAHADD ADMED MOGHAL</t>
  </si>
  <si>
    <t>Assembler</t>
  </si>
  <si>
    <t>UMAR</t>
  </si>
  <si>
    <t>BAKERY</t>
  </si>
  <si>
    <t>Bakery</t>
  </si>
  <si>
    <t>IZHAR UL HAQ</t>
  </si>
  <si>
    <t>AMMARA SYED</t>
  </si>
  <si>
    <t>MUHAMMAD SALEEM</t>
  </si>
  <si>
    <t>BBQ</t>
  </si>
  <si>
    <t>BBQ Helper</t>
  </si>
  <si>
    <t>FAROOQ AHMED</t>
  </si>
  <si>
    <t>SUBHAN</t>
  </si>
  <si>
    <t>BBQ senior</t>
  </si>
  <si>
    <t>INAMULLAH KHAN</t>
  </si>
  <si>
    <t>M. IMRAN</t>
  </si>
  <si>
    <t>SHAFIQ AHMED</t>
  </si>
  <si>
    <t>HAMMAD KHAN</t>
  </si>
  <si>
    <t>BILAL</t>
  </si>
  <si>
    <t>BBQ Filling</t>
  </si>
  <si>
    <t>HAZRAT MUHAMMAD</t>
  </si>
  <si>
    <t>BBQ CHEF</t>
  </si>
  <si>
    <t>MUHAMMAD YASEEN</t>
  </si>
  <si>
    <t>BBQ Grill</t>
  </si>
  <si>
    <t>IRFAN</t>
  </si>
  <si>
    <t>MOHIB ASAD</t>
  </si>
  <si>
    <t>BBQ HELPER</t>
  </si>
  <si>
    <t>SHAKIR ULLAH</t>
  </si>
  <si>
    <t>BBQ COOCK</t>
  </si>
  <si>
    <t>SAIF UL ISLAM</t>
  </si>
  <si>
    <t>WAQAS KHAN</t>
  </si>
  <si>
    <t>HELPER</t>
  </si>
  <si>
    <t>AMJAD KHAN</t>
  </si>
  <si>
    <t>bbq helper</t>
  </si>
  <si>
    <t>SHAHZAD ALI</t>
  </si>
  <si>
    <t>Bbq helper</t>
  </si>
  <si>
    <t>Abdul Rehman</t>
  </si>
  <si>
    <t>BEVERAGES</t>
  </si>
  <si>
    <t>Beverages</t>
  </si>
  <si>
    <t>SAMEER ALI</t>
  </si>
  <si>
    <t>FAHAD HUSSAIN</t>
  </si>
  <si>
    <t>BUTCHER</t>
  </si>
  <si>
    <t>ABDUL RAUF</t>
  </si>
  <si>
    <t>BUTCHER EXECUITIVE</t>
  </si>
  <si>
    <t>M. AKBAR</t>
  </si>
  <si>
    <t>Runner</t>
  </si>
  <si>
    <t>HUZAIFA AHMED</t>
  </si>
  <si>
    <t>CASH COUNTER</t>
  </si>
  <si>
    <t>CASHIER</t>
  </si>
  <si>
    <t>ALI HAIDER</t>
  </si>
  <si>
    <t>SAAD ELAHI</t>
  </si>
  <si>
    <t>SYED FAHEEM ALI</t>
  </si>
  <si>
    <t>RAJ UMER</t>
  </si>
  <si>
    <t>AKHTAR ALI</t>
  </si>
  <si>
    <t>MUHAMMAD ATIF</t>
  </si>
  <si>
    <t>SYED MESUM ABBAS</t>
  </si>
  <si>
    <t>TAYYAB</t>
  </si>
  <si>
    <t>Casher</t>
  </si>
  <si>
    <t>Muhammed Ali Guhar</t>
  </si>
  <si>
    <t>Muhammed Ibraheem Shafi</t>
  </si>
  <si>
    <t>HASEEB ARSAD</t>
  </si>
  <si>
    <t>AJAR ABDULLAH</t>
  </si>
  <si>
    <t>M. ROHSHAN AMAN</t>
  </si>
  <si>
    <t>FAIZAN JAMEEL</t>
  </si>
  <si>
    <t>HAMD WAJAHAT</t>
  </si>
  <si>
    <t>Chinese</t>
  </si>
  <si>
    <t>Chinese Chef</t>
  </si>
  <si>
    <t>ASHRAF ALI</t>
  </si>
  <si>
    <t>1124 food bill</t>
  </si>
  <si>
    <t>Chinese Helper</t>
  </si>
  <si>
    <t>ARSHAD</t>
  </si>
  <si>
    <t>Anwar Hussain</t>
  </si>
  <si>
    <t>ANSAR ALI</t>
  </si>
  <si>
    <t>w fine issue</t>
  </si>
  <si>
    <t>JAHANZAIB ALAM</t>
  </si>
  <si>
    <t>CHINESE HELPER</t>
  </si>
  <si>
    <t>ALI BAIG</t>
  </si>
  <si>
    <t>Raheem Ullah</t>
  </si>
  <si>
    <t>FARIYA AMIR KHAN</t>
  </si>
  <si>
    <t>SAIF UR REHMAN</t>
  </si>
  <si>
    <t xml:space="preserve">paid ashruf </t>
  </si>
  <si>
    <t>MUHAMMAD OWAIS</t>
  </si>
  <si>
    <t>INTERNSHIP</t>
  </si>
  <si>
    <t>TOOBA</t>
  </si>
  <si>
    <t>CONTINENTAL</t>
  </si>
  <si>
    <t>CONTINENTAL CHEF</t>
  </si>
  <si>
    <t>IMRAN</t>
  </si>
  <si>
    <t>Continental Senior</t>
  </si>
  <si>
    <t>AHSAN</t>
  </si>
  <si>
    <t>Continental Helper</t>
  </si>
  <si>
    <t>ABDUL RASHEED</t>
  </si>
  <si>
    <t>FARAZ KHAN</t>
  </si>
  <si>
    <t>MURTAZA ALI</t>
  </si>
  <si>
    <t>Continental</t>
  </si>
  <si>
    <t>MEKAH</t>
  </si>
  <si>
    <t>ADNAN SHAHZAD</t>
  </si>
  <si>
    <t>Helper</t>
  </si>
  <si>
    <t>Muhammed Shazaib</t>
  </si>
  <si>
    <t>Zubair Ahmed Khan</t>
  </si>
  <si>
    <t>Muhammad Sameer</t>
  </si>
  <si>
    <t>helper</t>
  </si>
  <si>
    <t>TASMINA KANWAL</t>
  </si>
  <si>
    <t>GUL AZAM</t>
  </si>
  <si>
    <t>AZAD ALI</t>
  </si>
  <si>
    <t>Kashif</t>
  </si>
  <si>
    <t>MUEEZ AHMAD</t>
  </si>
  <si>
    <t>IMRAN SHAH</t>
  </si>
  <si>
    <t>AYESHA SIDDIQUI</t>
  </si>
  <si>
    <t>Events</t>
  </si>
  <si>
    <t>Event Helper</t>
  </si>
  <si>
    <t>NAVEED MUNEER</t>
  </si>
  <si>
    <t>event</t>
  </si>
  <si>
    <t>HASAN RAZA</t>
  </si>
  <si>
    <t>Event Assistant</t>
  </si>
  <si>
    <t>NABISHA QASIM</t>
  </si>
  <si>
    <t>HOLD</t>
  </si>
  <si>
    <t>HIRA</t>
  </si>
  <si>
    <t>Ehtisham Hussain</t>
  </si>
  <si>
    <t>BW</t>
  </si>
  <si>
    <t>ISMAIL KHAN</t>
  </si>
  <si>
    <t>SADAQAT ULLAH</t>
  </si>
  <si>
    <t>RUNNER</t>
  </si>
  <si>
    <t>UMER SADIQ</t>
  </si>
  <si>
    <t>OT/A</t>
  </si>
  <si>
    <t>GUL MUHAMMED</t>
  </si>
  <si>
    <t>OT/E</t>
  </si>
  <si>
    <t>QASIR ALI BHUTTO</t>
  </si>
  <si>
    <t>B/W</t>
  </si>
  <si>
    <t>ABDUL HALEEM</t>
  </si>
  <si>
    <t>BW/D</t>
  </si>
  <si>
    <t>SAHARAT ALI</t>
  </si>
  <si>
    <t>BWW/F</t>
  </si>
  <si>
    <t>UMER ZAIB</t>
  </si>
  <si>
    <t>REHMAT-ULLAH</t>
  </si>
  <si>
    <t>AZAM TARIQ</t>
  </si>
  <si>
    <t>B/S</t>
  </si>
  <si>
    <t>ABDUL AZIZ</t>
  </si>
  <si>
    <t>SHARAFAT HUSSAIN</t>
  </si>
  <si>
    <t>BW/PATIO</t>
  </si>
  <si>
    <t>MAQSOOD ALAM</t>
  </si>
  <si>
    <t>Floor Management</t>
  </si>
  <si>
    <t>MANAGER</t>
  </si>
  <si>
    <t>ABDUL SAMAD</t>
  </si>
  <si>
    <t>SAID AKBER</t>
  </si>
  <si>
    <t>CAPTAIN</t>
  </si>
  <si>
    <t>SIRAJ UDDIN</t>
  </si>
  <si>
    <t>M. SHAFI</t>
  </si>
  <si>
    <t>CAPITAN</t>
  </si>
  <si>
    <t>ABDUL WAHEED</t>
  </si>
  <si>
    <t>Manager</t>
  </si>
  <si>
    <t>Waseem ahmad</t>
  </si>
  <si>
    <t>AMEEN</t>
  </si>
  <si>
    <t>WASEEM AHMED SINDHI</t>
  </si>
  <si>
    <t>SHER WADOOD</t>
  </si>
  <si>
    <t>USAMA KHAN</t>
  </si>
  <si>
    <t>SALEEM</t>
  </si>
  <si>
    <t>JAHANZAIB</t>
  </si>
  <si>
    <t>FLOOR INCHAGE</t>
  </si>
  <si>
    <t>ABDUL REHMAN</t>
  </si>
  <si>
    <t>Sec Manager</t>
  </si>
  <si>
    <t>Ejaz Indrias</t>
  </si>
  <si>
    <t>Kifayatullah</t>
  </si>
  <si>
    <t>SYED FARHAN AHMED</t>
  </si>
  <si>
    <t>FLOOR MANAGER</t>
  </si>
  <si>
    <t>MAQSOOD HUSSAIN</t>
  </si>
  <si>
    <t>M. ZAREEN FLOOR</t>
  </si>
  <si>
    <t>Floor Wipping</t>
  </si>
  <si>
    <t>WIPPING</t>
  </si>
  <si>
    <t>KARIM ULLAH</t>
  </si>
  <si>
    <t>Floor Wipping Incharge</t>
  </si>
  <si>
    <t>DANISH RANA</t>
  </si>
  <si>
    <t>ZAFAR KHAN</t>
  </si>
  <si>
    <t>WAQAR ALI</t>
  </si>
  <si>
    <t>WASEEM AHMED</t>
  </si>
  <si>
    <t>MUHAMMED SHER</t>
  </si>
  <si>
    <t>HASSNAIN</t>
  </si>
  <si>
    <t>MUHAMMED QASIN</t>
  </si>
  <si>
    <t>INCHARGE</t>
  </si>
  <si>
    <t>MUHAMMED NAJAM</t>
  </si>
  <si>
    <t>MUHAMMED ASAD</t>
  </si>
  <si>
    <t>MUHAMMED RAHAt ALI</t>
  </si>
  <si>
    <t>OWAIS GAINJO</t>
  </si>
  <si>
    <t>FAHEEM ALI</t>
  </si>
  <si>
    <t>FAROOQ GULL</t>
  </si>
  <si>
    <t>Forest</t>
  </si>
  <si>
    <t>JALAL AHMED</t>
  </si>
  <si>
    <t>OT</t>
  </si>
  <si>
    <t>MAZAHIR HUSSAIN</t>
  </si>
  <si>
    <t>JALAL UDDIN</t>
  </si>
  <si>
    <t>REHMAT ULLAH</t>
  </si>
  <si>
    <t>MUHAMMAD TALHA</t>
  </si>
  <si>
    <t>WAHID HUSSAIN</t>
  </si>
  <si>
    <t>GRO</t>
  </si>
  <si>
    <t>SHAHID REHMAN</t>
  </si>
  <si>
    <t>Jibran Ali</t>
  </si>
  <si>
    <t>Gro</t>
  </si>
  <si>
    <t>BASHARAT HUSSAIN</t>
  </si>
  <si>
    <t>FAZAL ABBAS</t>
  </si>
  <si>
    <t>GRO (RECEP)</t>
  </si>
  <si>
    <t>MUNTAZIR MEHDI</t>
  </si>
  <si>
    <t>REHMAT ALI</t>
  </si>
  <si>
    <t>WHEEL CHAIR</t>
  </si>
  <si>
    <t>OWAIS TANOLI</t>
  </si>
  <si>
    <t>UMAIR IQBAL</t>
  </si>
  <si>
    <t>Mariyam</t>
  </si>
  <si>
    <t>ALI RAZA</t>
  </si>
  <si>
    <t>Maryum Shoukat Ali</t>
  </si>
  <si>
    <t>NAZIR AHMED</t>
  </si>
  <si>
    <t>DAWOOD SHAHID</t>
  </si>
  <si>
    <t>ZAREEN BLOCH</t>
  </si>
  <si>
    <t>AHTISHAM ABBASI</t>
  </si>
  <si>
    <t>AHAD ALI</t>
  </si>
  <si>
    <t>RECEPTION</t>
  </si>
  <si>
    <t>RAO AFNAN RAZA</t>
  </si>
  <si>
    <t>RABIA</t>
  </si>
  <si>
    <t>GULSHAN ISHTIAQUE</t>
  </si>
  <si>
    <t>HANDI</t>
  </si>
  <si>
    <t>Handi Helper</t>
  </si>
  <si>
    <t>SHAHZAIB</t>
  </si>
  <si>
    <t>Handi Chef</t>
  </si>
  <si>
    <t>YASIR</t>
  </si>
  <si>
    <t>NOOR AZAM</t>
  </si>
  <si>
    <t>HELPR</t>
  </si>
  <si>
    <t>MUHAMMED SHAREEF</t>
  </si>
  <si>
    <t>ADEEL</t>
  </si>
  <si>
    <t>internee</t>
  </si>
  <si>
    <t>ARHAMA KHAN</t>
  </si>
  <si>
    <t>ITSS</t>
  </si>
  <si>
    <t>CCTV</t>
  </si>
  <si>
    <t>KHIZAR ALI</t>
  </si>
  <si>
    <t>IT Manager</t>
  </si>
  <si>
    <t>MUHAMMAD OWAIS AWAN</t>
  </si>
  <si>
    <t>CCTV Officer</t>
  </si>
  <si>
    <t>NABEEL HUSSAIN</t>
  </si>
  <si>
    <t>IT ASSISTANT</t>
  </si>
  <si>
    <t>HAMZA TAHIR</t>
  </si>
  <si>
    <t>CCTV ASSISTANT</t>
  </si>
  <si>
    <t>SAEED ULLAH KHAN</t>
  </si>
  <si>
    <t>Karahi</t>
  </si>
  <si>
    <t>KARHAI CHEF</t>
  </si>
  <si>
    <t>RIZWAN ULLAH</t>
  </si>
  <si>
    <t>Karahi Helper</t>
  </si>
  <si>
    <t>Matan Karhai cook</t>
  </si>
  <si>
    <t>SHUJAD ALI</t>
  </si>
  <si>
    <t>USAMA AMEEN</t>
  </si>
  <si>
    <t>SALMAN</t>
  </si>
  <si>
    <t>AMIR RIYAZ</t>
  </si>
  <si>
    <t>ATIF</t>
  </si>
  <si>
    <t>FAZAL</t>
  </si>
  <si>
    <t>Karhai Cook</t>
  </si>
  <si>
    <t>Farman</t>
  </si>
  <si>
    <t>KARHAI HELPER</t>
  </si>
  <si>
    <t>Muzammil Niaz</t>
  </si>
  <si>
    <t>MUHAMMED NISAR</t>
  </si>
  <si>
    <t>ADIL REHMAN</t>
  </si>
  <si>
    <t>SABEEN FATIMA KHAN</t>
  </si>
  <si>
    <t>KATAKAT</t>
  </si>
  <si>
    <t>Katakat Chef</t>
  </si>
  <si>
    <t>RAFI ULLAH</t>
  </si>
  <si>
    <t>Katakat Helper</t>
  </si>
  <si>
    <t>AWAIS</t>
  </si>
  <si>
    <t>MUHAMMAD SAMEER</t>
  </si>
  <si>
    <t>Kunafa</t>
  </si>
  <si>
    <t>Kunafa Helper</t>
  </si>
  <si>
    <t>MUHEEM KHAN</t>
  </si>
  <si>
    <t>KUNAFA HELPER</t>
  </si>
  <si>
    <t>NABI BAKSH</t>
  </si>
  <si>
    <t>NOUREEN</t>
  </si>
  <si>
    <t>Leaf</t>
  </si>
  <si>
    <t>WAQAR AHMED</t>
  </si>
  <si>
    <t>FAREED ALI</t>
  </si>
  <si>
    <t>MUHAMMAD RAFIQ</t>
  </si>
  <si>
    <t>ABDUL RAUF HASHMI</t>
  </si>
  <si>
    <t>MUBASHIR HUSSAIN</t>
  </si>
  <si>
    <t>Maintenance</t>
  </si>
  <si>
    <t>PLUMBER</t>
  </si>
  <si>
    <t>FAHEEM AHMED</t>
  </si>
  <si>
    <t>Maintaince Incharge</t>
  </si>
  <si>
    <t>USMAN</t>
  </si>
  <si>
    <t>CARPENTER</t>
  </si>
  <si>
    <t>RASHEED HUSSAIN</t>
  </si>
  <si>
    <t>Welder</t>
  </si>
  <si>
    <t>MEHBOOB KHAN</t>
  </si>
  <si>
    <t>PLUMBER HELPER</t>
  </si>
  <si>
    <t>SAJJAD</t>
  </si>
  <si>
    <t>AC HELPER</t>
  </si>
  <si>
    <t>YAHYA ALI KHAN</t>
  </si>
  <si>
    <t>MALI</t>
  </si>
  <si>
    <t>MUSHTAQ</t>
  </si>
  <si>
    <t>PAINTER</t>
  </si>
  <si>
    <t>ZOHAIB KHAN</t>
  </si>
  <si>
    <t>GENERATOR OPERATOR</t>
  </si>
  <si>
    <t>SHAHBAZ</t>
  </si>
  <si>
    <t>MUHAMMED JAHANGIR</t>
  </si>
  <si>
    <t>TECHNICIAN</t>
  </si>
  <si>
    <t>MEMROZ KHAN</t>
  </si>
  <si>
    <t>ELECTRICIAN</t>
  </si>
  <si>
    <t>SHOAIB AHMED</t>
  </si>
  <si>
    <t>RAZA ALI</t>
  </si>
  <si>
    <t>A/C TECHNICIAN</t>
  </si>
  <si>
    <t>MUHAMMED OWAIS ALI</t>
  </si>
  <si>
    <t>MUHAMMAD KASHIF</t>
  </si>
  <si>
    <t>ON LEAVE</t>
  </si>
  <si>
    <t>SOHAIL AZAM</t>
  </si>
  <si>
    <t>Mocktail Bar</t>
  </si>
  <si>
    <t>Mocktail Bar Head</t>
  </si>
  <si>
    <t>AHRAR AHMED</t>
  </si>
  <si>
    <t>Mocktail HELPER</t>
  </si>
  <si>
    <t>ASAD MUNEER</t>
  </si>
  <si>
    <t>UMER RAJPOT</t>
  </si>
  <si>
    <t>COLD BAR HELPER</t>
  </si>
  <si>
    <t>SHEERAZ AHMED</t>
  </si>
  <si>
    <t>IZHAR</t>
  </si>
  <si>
    <t>MUHAMMED OWAIS</t>
  </si>
  <si>
    <t>Music</t>
  </si>
  <si>
    <t>Music Incharge</t>
  </si>
  <si>
    <t>Anthani</t>
  </si>
  <si>
    <t>Faisal</t>
  </si>
  <si>
    <t>SINGER</t>
  </si>
  <si>
    <t>MUHAMMED AMIR LHAN</t>
  </si>
  <si>
    <t>Music Keyboard</t>
  </si>
  <si>
    <t>JOIL</t>
  </si>
  <si>
    <t>ARSALAN</t>
  </si>
  <si>
    <t>ZULFIQAR ALI</t>
  </si>
  <si>
    <t>Patio</t>
  </si>
  <si>
    <t>O/T</t>
  </si>
  <si>
    <t>INAMUDDIN</t>
  </si>
  <si>
    <t>HAFEEZ UR REHMAN</t>
  </si>
  <si>
    <t>FAIZAN SHAREEF</t>
  </si>
  <si>
    <t>MUHAMMAD WAQAS</t>
  </si>
  <si>
    <t>AMIR SOHAIL</t>
  </si>
  <si>
    <t>PERSONAL SECURITY</t>
  </si>
  <si>
    <t>LADY GUARD</t>
  </si>
  <si>
    <t>SUMAIRA KAMAL</t>
  </si>
  <si>
    <t>PLAY LAND</t>
  </si>
  <si>
    <t>PLAY LAND (INCHARGE)</t>
  </si>
  <si>
    <t>UMAR SAEED</t>
  </si>
  <si>
    <t>CASHIER PlayLand</t>
  </si>
  <si>
    <t>SABEEH KHAN</t>
  </si>
  <si>
    <t>PLAYLAND</t>
  </si>
  <si>
    <t>SUMAIRA</t>
  </si>
  <si>
    <t>HABIB ULLAH KHAN</t>
  </si>
  <si>
    <t>Pulao</t>
  </si>
  <si>
    <t>Pulao CHEF</t>
  </si>
  <si>
    <t>SAIFULLAH</t>
  </si>
  <si>
    <t>PULAO HELPER</t>
  </si>
  <si>
    <t>HUZAIFA</t>
  </si>
  <si>
    <t>JAWAD</t>
  </si>
  <si>
    <t>Saboor</t>
  </si>
  <si>
    <t>Muhammad Zeeshan</t>
  </si>
  <si>
    <t>ABDUL HAFEEZ</t>
  </si>
  <si>
    <t>NISAR SHER</t>
  </si>
  <si>
    <t>SIRAJ</t>
  </si>
  <si>
    <t>QASIM KHAN</t>
  </si>
  <si>
    <t>SAMEER AHMED</t>
  </si>
  <si>
    <t>TAYYAB MANSOOR</t>
  </si>
  <si>
    <t>FEROZ AHMED</t>
  </si>
  <si>
    <t>Saifullah</t>
  </si>
  <si>
    <t>WAQAS</t>
  </si>
  <si>
    <t>RUNNER 2</t>
  </si>
  <si>
    <t>ORDER PICKUP</t>
  </si>
  <si>
    <t>SHERBAZ HASAN</t>
  </si>
  <si>
    <t>SHEHRYAR HASAN</t>
  </si>
  <si>
    <t>M. ISMAIL YASEEN</t>
  </si>
  <si>
    <t>REHAN SIKANDER</t>
  </si>
  <si>
    <t>MUHAMMAD ALI</t>
  </si>
  <si>
    <t>AHMED NOOR</t>
  </si>
  <si>
    <t>IBRAHIM</t>
  </si>
  <si>
    <t>Ayaz Ullah</t>
  </si>
  <si>
    <t>BILAL AHMED</t>
  </si>
  <si>
    <t>AMAN KHAN</t>
  </si>
  <si>
    <t>HUZAIFA AWAN</t>
  </si>
  <si>
    <t>YASHWA</t>
  </si>
  <si>
    <t>FAZAL WAHAB</t>
  </si>
  <si>
    <t>NASEER ULLAH</t>
  </si>
  <si>
    <t>MUHAMMAD UMAIR</t>
  </si>
  <si>
    <t>DISPATCH</t>
  </si>
  <si>
    <t>HERRY</t>
  </si>
  <si>
    <t>SALAD BAR</t>
  </si>
  <si>
    <t>Salad Bar</t>
  </si>
  <si>
    <t>MUHAMMAD ADIL KHAN</t>
  </si>
  <si>
    <t>Wasif Khan</t>
  </si>
  <si>
    <t>COMIC</t>
  </si>
  <si>
    <t>SOHAIL</t>
  </si>
  <si>
    <t>DOULAT</t>
  </si>
  <si>
    <t>SALAD BAR HELPER</t>
  </si>
  <si>
    <t>ASHIQ ALI</t>
  </si>
  <si>
    <t>Section A #1</t>
  </si>
  <si>
    <t>BST</t>
  </si>
  <si>
    <t>SHABEER</t>
  </si>
  <si>
    <t>BW/A</t>
  </si>
  <si>
    <t>Fayaz Ahmed</t>
  </si>
  <si>
    <t>NOOR UL ISLAM</t>
  </si>
  <si>
    <t>USAMA</t>
  </si>
  <si>
    <t>TARIQ JAMEEL</t>
  </si>
  <si>
    <t>FAIZAN</t>
  </si>
  <si>
    <t>M. SHAKEEL</t>
  </si>
  <si>
    <t>SAIFULAH</t>
  </si>
  <si>
    <t>MUHAMMAD ARIF</t>
  </si>
  <si>
    <t>Hafiz Muhammad Umar</t>
  </si>
  <si>
    <t>SHAH MUHAMMED TAYAB</t>
  </si>
  <si>
    <t>ATTA ULLAH</t>
  </si>
  <si>
    <t>ZABIULLAH</t>
  </si>
  <si>
    <t>Irfan Ullah</t>
  </si>
  <si>
    <t>Zia-Ud-Deen</t>
  </si>
  <si>
    <t>MUHAMMED SAQIB</t>
  </si>
  <si>
    <t>-2000 fine</t>
  </si>
  <si>
    <t>WAJIHUD DIN</t>
  </si>
  <si>
    <t>IMAM HUSSAIN</t>
  </si>
  <si>
    <t>MUHAMMED AYAZ</t>
  </si>
  <si>
    <t>NAZAKAT ALI</t>
  </si>
  <si>
    <t>Section A#2</t>
  </si>
  <si>
    <t>SHER FAZAL</t>
  </si>
  <si>
    <t>SHAH HUSSAIN</t>
  </si>
  <si>
    <t>Banir</t>
  </si>
  <si>
    <t>ZAKIRIYA</t>
  </si>
  <si>
    <t>UBAID</t>
  </si>
  <si>
    <t>MAZHAR IQBAL</t>
  </si>
  <si>
    <t>ABIL ISSA</t>
  </si>
  <si>
    <t>ASAD ALI</t>
  </si>
  <si>
    <t>hold</t>
  </si>
  <si>
    <t>rukja\</t>
  </si>
  <si>
    <t>MASOOD ALAM</t>
  </si>
  <si>
    <t>SHEIKH SHAMIM ALAM</t>
  </si>
  <si>
    <t>JEELAM</t>
  </si>
  <si>
    <t>INAMULLAH</t>
  </si>
  <si>
    <t>HABIB UR REHMAN</t>
  </si>
  <si>
    <t>ISSA UR REHMAN</t>
  </si>
  <si>
    <t>NAVEED AHMED</t>
  </si>
  <si>
    <t>Ikram udin</t>
  </si>
  <si>
    <t>FIDA HUSSAIN</t>
  </si>
  <si>
    <t>MASOOD UR REHMAN</t>
  </si>
  <si>
    <t>TAHIR ALI</t>
  </si>
  <si>
    <t>ABUBAKAR</t>
  </si>
  <si>
    <t>Section B #1</t>
  </si>
  <si>
    <t>MUJEEEB ULLAH</t>
  </si>
  <si>
    <t>SHAFQAT ULLAH</t>
  </si>
  <si>
    <t>MUJEEB UR REHMAN</t>
  </si>
  <si>
    <t>HAJI AKBAR</t>
  </si>
  <si>
    <t>MUSHTAQ AHMED</t>
  </si>
  <si>
    <t>CHAKAR</t>
  </si>
  <si>
    <t>ASGAR KHAN</t>
  </si>
  <si>
    <t>KHALID HUSSAIN</t>
  </si>
  <si>
    <t>NADEEM HAIDER</t>
  </si>
  <si>
    <t>BW/B</t>
  </si>
  <si>
    <t>Nizam Uddin</t>
  </si>
  <si>
    <t>Adnan Zafar</t>
  </si>
  <si>
    <t>Shaabbaz Ahmed</t>
  </si>
  <si>
    <t>MEHFOOZ KHAN</t>
  </si>
  <si>
    <t>IDREES AHMED</t>
  </si>
  <si>
    <t>SHUJA UR REHMAN</t>
  </si>
  <si>
    <t>IRHAM ULLAH</t>
  </si>
  <si>
    <t>ISHFAQ AHMED</t>
  </si>
  <si>
    <t>RASHID</t>
  </si>
  <si>
    <t>TANZEEL-UL-REHMAN</t>
  </si>
  <si>
    <t>AHTISHAM</t>
  </si>
  <si>
    <t>ALTAF HUSSAIN</t>
  </si>
  <si>
    <t>Section B #2</t>
  </si>
  <si>
    <t>MUFAD ALAM</t>
  </si>
  <si>
    <t>SHER ULLAH</t>
  </si>
  <si>
    <t>SAJID ALI</t>
  </si>
  <si>
    <t>SHAFQAT</t>
  </si>
  <si>
    <t>INZAMAM</t>
  </si>
  <si>
    <t>DARVAISH KHAN</t>
  </si>
  <si>
    <t>IMDAD ULLAH</t>
  </si>
  <si>
    <t>AZAN</t>
  </si>
  <si>
    <t>ANWAR UL HASSAN</t>
  </si>
  <si>
    <t>ABDUL RAZIQ</t>
  </si>
  <si>
    <t>MUHAMMAD IQBAL</t>
  </si>
  <si>
    <t>ISRAR ALI</t>
  </si>
  <si>
    <t>NIAZ AHMED</t>
  </si>
  <si>
    <t>IMRAN AZAM</t>
  </si>
  <si>
    <t>ZEESHAN</t>
  </si>
  <si>
    <t>Section D #1</t>
  </si>
  <si>
    <t>ZAHID HUSSAIN</t>
  </si>
  <si>
    <t>ZUBAIR ADMED</t>
  </si>
  <si>
    <t>IRFAN SHAH</t>
  </si>
  <si>
    <t>MEHBOOB</t>
  </si>
  <si>
    <t>SADDAM HUSSAIN</t>
  </si>
  <si>
    <t>IDREES KHAN</t>
  </si>
  <si>
    <t>HASEEB ULLAH</t>
  </si>
  <si>
    <t>TARIQ</t>
  </si>
  <si>
    <t>IBRAR ALAM</t>
  </si>
  <si>
    <t>SALMAN KHAN</t>
  </si>
  <si>
    <t>MAQSOOD ALI</t>
  </si>
  <si>
    <t>MUNEER ALAM</t>
  </si>
  <si>
    <t>Section D #2</t>
  </si>
  <si>
    <t>IZHAR AHMED</t>
  </si>
  <si>
    <t>REHMAT NABI</t>
  </si>
  <si>
    <t>QAZZAFI</t>
  </si>
  <si>
    <t>FAISAL YOUNUS</t>
  </si>
  <si>
    <t>2 days &amp; week end issue</t>
  </si>
  <si>
    <t>ZAHID</t>
  </si>
  <si>
    <t>Zulfiqar Ahmed</t>
  </si>
  <si>
    <t>ATAHR ABBAS</t>
  </si>
  <si>
    <t>ADNAN ULLAH</t>
  </si>
  <si>
    <t>SHAHID ALAM</t>
  </si>
  <si>
    <t>MEHTAB ALAM</t>
  </si>
  <si>
    <t>IMRAN KHAN</t>
  </si>
  <si>
    <t>SAMI UL HAQ</t>
  </si>
  <si>
    <t>REHMAT GHANI</t>
  </si>
  <si>
    <t>SHER AYAZ</t>
  </si>
  <si>
    <t>Section E</t>
  </si>
  <si>
    <t>BW/E</t>
  </si>
  <si>
    <t>AKBER ALI</t>
  </si>
  <si>
    <t>MESUM SUHAN</t>
  </si>
  <si>
    <t>AMJAD ALI</t>
  </si>
  <si>
    <t>SALLAH UDEEN</t>
  </si>
  <si>
    <t>BW/F</t>
  </si>
  <si>
    <t>RIAZ UL ISLAM</t>
  </si>
  <si>
    <t>KUMAIL</t>
  </si>
  <si>
    <t>ISRAR UL HAQ</t>
  </si>
  <si>
    <t>HASNAIN ABBASI</t>
  </si>
  <si>
    <t>ZAHEEN ULLAH</t>
  </si>
  <si>
    <t>BASHEER AHMED</t>
  </si>
  <si>
    <t>AHSAN HAIDER SHAH</t>
  </si>
  <si>
    <t>SAWAL FAQEER</t>
  </si>
  <si>
    <t>ISRAR HUSSAIN</t>
  </si>
  <si>
    <t>RASHEED ULLAH</t>
  </si>
  <si>
    <t>AJAB GUL</t>
  </si>
  <si>
    <t>Section E#2</t>
  </si>
  <si>
    <t>GHAYAZ UDDIN</t>
  </si>
  <si>
    <t>MAJID ALI</t>
  </si>
  <si>
    <t>MUBEEN</t>
  </si>
  <si>
    <t>SHIFA UDDIN</t>
  </si>
  <si>
    <t>JAMAL UD DIN</t>
  </si>
  <si>
    <t>SHAH FARMAN</t>
  </si>
  <si>
    <t>Section F</t>
  </si>
  <si>
    <t>SHAH NAWAZ</t>
  </si>
  <si>
    <t>MUNEER AHMED</t>
  </si>
  <si>
    <t>OT/F</t>
  </si>
  <si>
    <t>IKRAM ULLAH</t>
  </si>
  <si>
    <t>REHMAT SHAREEF</t>
  </si>
  <si>
    <t>ZOHAIB</t>
  </si>
  <si>
    <t>ABUZAR KHAN</t>
  </si>
  <si>
    <t>Amir Hussain</t>
  </si>
  <si>
    <t>GHULAM ABBAS</t>
  </si>
  <si>
    <t>Rauf Khan</t>
  </si>
  <si>
    <t>WASEEM UL HAQ</t>
  </si>
  <si>
    <t>SOHAIL ABBAS</t>
  </si>
  <si>
    <t>ZULFIQAR HAIDER</t>
  </si>
  <si>
    <t>NAIMAT ALLAH</t>
  </si>
  <si>
    <t>SUMNOON</t>
  </si>
  <si>
    <t>Section F2</t>
  </si>
  <si>
    <t>RIAZ AHMED</t>
  </si>
  <si>
    <t>RAJ MUHAMMAD</t>
  </si>
  <si>
    <t>ABID ALI</t>
  </si>
  <si>
    <t>SHAFIQ ULLAH</t>
  </si>
  <si>
    <t>MIR ZAMAN</t>
  </si>
  <si>
    <t>SAJJAD ULLAH</t>
  </si>
  <si>
    <t>ISLAM UD DIN</t>
  </si>
  <si>
    <t>Mubarak Ali</t>
  </si>
  <si>
    <t>ADNAN SULATAN</t>
  </si>
  <si>
    <t>UMAIS</t>
  </si>
  <si>
    <t>GAYAZ NABI</t>
  </si>
  <si>
    <t>Staff Food</t>
  </si>
  <si>
    <t>STAFF FOOD</t>
  </si>
  <si>
    <t>AMIR</t>
  </si>
  <si>
    <t>Staff Food Chef</t>
  </si>
  <si>
    <t>M.SHAHZAD</t>
  </si>
  <si>
    <t>STORE</t>
  </si>
  <si>
    <t>Outdoor Rider</t>
  </si>
  <si>
    <t>NOMAN KHAN</t>
  </si>
  <si>
    <t>Store Helper</t>
  </si>
  <si>
    <t>Store Data Keeper</t>
  </si>
  <si>
    <t>IZHAR HUSSAIN</t>
  </si>
  <si>
    <t>STORE KEEPAR</t>
  </si>
  <si>
    <t>YOUSUF ALI</t>
  </si>
  <si>
    <t>Purchase Incharge</t>
  </si>
  <si>
    <t>ZAID REHMAN</t>
  </si>
  <si>
    <t>STORE HELPER</t>
  </si>
  <si>
    <t>ANEES EJAZ</t>
  </si>
  <si>
    <t>UMAIR UL HAQ</t>
  </si>
  <si>
    <t>Tandoor</t>
  </si>
  <si>
    <t>TANDOOR HELPER</t>
  </si>
  <si>
    <t>NAZEER ULLAH KHAN</t>
  </si>
  <si>
    <t>Tandoor Cook</t>
  </si>
  <si>
    <t>AHMED ULLAH</t>
  </si>
  <si>
    <t>MEHMOOD</t>
  </si>
  <si>
    <t>CHAPATI</t>
  </si>
  <si>
    <t>SHAFEEQ</t>
  </si>
  <si>
    <t>Tandoor helper</t>
  </si>
  <si>
    <t>SAQIB KHAN</t>
  </si>
  <si>
    <t>Tandoor Helper</t>
  </si>
  <si>
    <t>ZAKEEB</t>
  </si>
  <si>
    <t>AMIR UD DIN</t>
  </si>
  <si>
    <t>AZMAT ULLAH</t>
  </si>
  <si>
    <t>EZIZ ULLAH</t>
  </si>
  <si>
    <t>NIZAM UD DIN</t>
  </si>
  <si>
    <t>HASHIM</t>
  </si>
  <si>
    <t>MUHAMMED HANEEF</t>
  </si>
  <si>
    <t>Tandoor Pickup</t>
  </si>
  <si>
    <t>HARIS AWAN</t>
  </si>
  <si>
    <t>AKBER ALI KHAN</t>
  </si>
  <si>
    <t>SYED TALHA</t>
  </si>
  <si>
    <t>M. FAIZAN KHAN</t>
  </si>
  <si>
    <t>AHSAN ALI</t>
  </si>
  <si>
    <t>OWAIS AHMED</t>
  </si>
  <si>
    <t>TAKE AWAY ORDER PICKUP</t>
  </si>
  <si>
    <t>FAHAD MUNEER</t>
  </si>
  <si>
    <t>ALI AWAN</t>
  </si>
  <si>
    <t>NABEEL AWAN</t>
  </si>
  <si>
    <t>Poori Pickup</t>
  </si>
  <si>
    <t>ORDER ENTRY</t>
  </si>
  <si>
    <t>MUHAMMAD UMAR</t>
  </si>
  <si>
    <t>TEA</t>
  </si>
  <si>
    <t>Tea Maker</t>
  </si>
  <si>
    <t>MUHAMMED KHLID</t>
  </si>
  <si>
    <t>NASIR KHAN</t>
  </si>
  <si>
    <t>Action</t>
  </si>
  <si>
    <t>ID</t>
  </si>
  <si>
    <t>Device Id</t>
  </si>
  <si>
    <t>Type</t>
  </si>
  <si>
    <t>Name</t>
  </si>
  <si>
    <t>DOJ</t>
  </si>
  <si>
    <t>Grace Time</t>
  </si>
  <si>
    <t>Salary</t>
  </si>
  <si>
    <t>salary as per salaty sheet</t>
  </si>
  <si>
    <t>Department</t>
  </si>
  <si>
    <t>Branches</t>
  </si>
  <si>
    <t>Nic</t>
  </si>
  <si>
    <t>Mobile Number</t>
  </si>
  <si>
    <t>Next to Kin Number</t>
  </si>
  <si>
    <t>Address</t>
  </si>
  <si>
    <t>Remarks</t>
  </si>
  <si>
    <t>saleman</t>
  </si>
  <si>
    <t>2023-12-26</t>
  </si>
  <si>
    <t>Saltanat</t>
  </si>
  <si>
    <t>ALL ROUNDER</t>
  </si>
  <si>
    <t>Ayaz</t>
  </si>
  <si>
    <t>2021-12-23</t>
  </si>
  <si>
    <t>2021-12-20</t>
  </si>
  <si>
    <t>2021-12-26</t>
  </si>
  <si>
    <t>42201-9998284</t>
  </si>
  <si>
    <t>2021-12-10</t>
  </si>
  <si>
    <t>LAST INCREMENT IS IN MARCH 2025</t>
  </si>
  <si>
    <t>Zohaib</t>
  </si>
  <si>
    <t>2021-12-30</t>
  </si>
  <si>
    <t>increment in nov 2024</t>
  </si>
  <si>
    <t>CHAPATI CHEF</t>
  </si>
  <si>
    <t>2025-05-06</t>
  </si>
  <si>
    <t>CHINESE</t>
  </si>
  <si>
    <t>42201-9682193</t>
  </si>
  <si>
    <t>HOUSE NO:E-204 KORANGI SECTOR 5 KARACHI</t>
  </si>
  <si>
    <t>2021-12-01</t>
  </si>
  <si>
    <t>2022-01-11</t>
  </si>
  <si>
    <t>2021-12-29</t>
  </si>
  <si>
    <t>NoSalesman</t>
  </si>
  <si>
    <t>2024-06-19</t>
  </si>
  <si>
    <t>03418586612</t>
  </si>
  <si>
    <t>2024-02-01</t>
  </si>
  <si>
    <t>LAST INCREMENT IS IN FEB 2025</t>
  </si>
  <si>
    <t>2021-12-28</t>
  </si>
  <si>
    <t>03228365574</t>
  </si>
  <si>
    <t>42201-4996525</t>
  </si>
  <si>
    <t>2023-08-15</t>
  </si>
  <si>
    <t>33203-6848502</t>
  </si>
  <si>
    <t>HOUSE NO:H-5/27 SRE MAJEED DALMIA KARACHI</t>
  </si>
  <si>
    <t>2022-04-01</t>
  </si>
  <si>
    <t>42401-6635415</t>
  </si>
  <si>
    <t>HOUSE NO:N648 SEC 7\B SURJANI TOWN KARACHI</t>
  </si>
  <si>
    <t>42201-2035190</t>
  </si>
  <si>
    <t>2021-12-21</t>
  </si>
  <si>
    <t>2021-11-27</t>
  </si>
  <si>
    <t>11-03-24</t>
  </si>
  <si>
    <t>2021-11-21</t>
  </si>
  <si>
    <t>2021-11-28</t>
  </si>
  <si>
    <t>2021-12-22</t>
  </si>
  <si>
    <t>2022-06-21</t>
  </si>
  <si>
    <t>42501-6530304</t>
  </si>
  <si>
    <t>FEATURE COLONY KARACHI</t>
  </si>
  <si>
    <t>2024-03-15</t>
  </si>
  <si>
    <t>TRANSFER TO LEAF SECTION IN MARCH AS A CAPTAIN</t>
  </si>
  <si>
    <t>2022-01-26</t>
  </si>
  <si>
    <t>2024-10-29</t>
  </si>
  <si>
    <t>71601-0591904</t>
  </si>
  <si>
    <t>03339201698</t>
  </si>
  <si>
    <t>CHOTA GATE BUS</t>
  </si>
  <si>
    <t>2024-10-18</t>
  </si>
  <si>
    <t>41601-0583902</t>
  </si>
  <si>
    <t>0318-6858626</t>
  </si>
  <si>
    <t>rejoin (Korangi bus)</t>
  </si>
  <si>
    <t>2024-11-07</t>
  </si>
  <si>
    <t>71203-7856257</t>
  </si>
  <si>
    <t>0310-2446661</t>
  </si>
  <si>
    <t>REJOIN  ON 7-11-2024</t>
  </si>
  <si>
    <t>2021-11-26</t>
  </si>
  <si>
    <t>42501-6968456</t>
  </si>
  <si>
    <t>HAZARA GOTH KARACHI</t>
  </si>
  <si>
    <t>Rejoining</t>
  </si>
  <si>
    <t>2021-12-14</t>
  </si>
  <si>
    <t>2022-02-04</t>
  </si>
  <si>
    <t>0319-1319978</t>
  </si>
  <si>
    <t>REJOIN (4/02/2025)</t>
  </si>
  <si>
    <t>0346-0387511</t>
  </si>
  <si>
    <t>2024-01-18</t>
  </si>
  <si>
    <t>2021-12-25</t>
  </si>
  <si>
    <t>2022-01-19</t>
  </si>
  <si>
    <t>2022-05-26</t>
  </si>
  <si>
    <t>2022-06-14</t>
  </si>
  <si>
    <t>2022-02-26</t>
  </si>
  <si>
    <t>2022-06-26</t>
  </si>
  <si>
    <t>KATAKAT HELPER</t>
  </si>
  <si>
    <t>2023-04-01</t>
  </si>
  <si>
    <t>2022-01-20</t>
  </si>
  <si>
    <t>71601-0611702</t>
  </si>
  <si>
    <t>03554333847</t>
  </si>
  <si>
    <t>2022-03-26</t>
  </si>
  <si>
    <t>2022-01-02</t>
  </si>
  <si>
    <t>2025-01-27</t>
  </si>
  <si>
    <t>0335-6255345</t>
  </si>
  <si>
    <t>2023-10-01</t>
  </si>
  <si>
    <t>2023-08-25</t>
  </si>
  <si>
    <t>34101-6608998</t>
  </si>
  <si>
    <t>0343-8096978</t>
  </si>
  <si>
    <t>2024-03-20</t>
  </si>
  <si>
    <t>2023-08-31</t>
  </si>
  <si>
    <t>42301-9795102</t>
  </si>
  <si>
    <t>HOUSE NO:9 BLOCK 245 RAILWAY COLONY KARACHI</t>
  </si>
  <si>
    <t>2022-04-27</t>
  </si>
  <si>
    <t>2022-04-12</t>
  </si>
  <si>
    <t>42201-9044066</t>
  </si>
  <si>
    <t>2021-06-26</t>
  </si>
  <si>
    <t>2022-06-08</t>
  </si>
  <si>
    <t>2022-05-01</t>
  </si>
  <si>
    <t>2024-01-27</t>
  </si>
  <si>
    <t>2022-12-27</t>
  </si>
  <si>
    <t>2022-01-27</t>
  </si>
  <si>
    <t>2024-09-25</t>
  </si>
  <si>
    <t>2024-08-17</t>
  </si>
  <si>
    <t>7123-3227282-</t>
  </si>
  <si>
    <t>0318-5643050</t>
  </si>
  <si>
    <t>2022-05-15</t>
  </si>
  <si>
    <t>2023-09-18</t>
  </si>
  <si>
    <t>2022-05-25</t>
  </si>
  <si>
    <t>2022-02-27</t>
  </si>
  <si>
    <t>2022-07-05</t>
  </si>
  <si>
    <t>14301-2448546</t>
  </si>
  <si>
    <t>FLAT NO:N-107 BLOCK 09 JOHOR KARACHI</t>
  </si>
  <si>
    <t>2022-05-27</t>
  </si>
  <si>
    <t>2022-08-14</t>
  </si>
  <si>
    <t>2022-08-27</t>
  </si>
  <si>
    <t>2022-06-01</t>
  </si>
  <si>
    <t>2022-06-27</t>
  </si>
  <si>
    <t>2022-08-02</t>
  </si>
  <si>
    <t>15201-1341615</t>
  </si>
  <si>
    <t>FLAT NO:G-352 GOLIMAR SULTANABAD KARACHI</t>
  </si>
  <si>
    <t>2022-08-17</t>
  </si>
  <si>
    <t>42101-6123772</t>
  </si>
  <si>
    <t>R-74 SECTOR 11/L NORTH KARACHI , KARACHI</t>
  </si>
  <si>
    <t>2022-10-08</t>
  </si>
  <si>
    <t>2022-09-22</t>
  </si>
  <si>
    <t>42501-9595902</t>
  </si>
  <si>
    <t>FLAT NO: A-408 BLOCK C GULISTAN E HIJRI</t>
  </si>
  <si>
    <t>LAST INCREMENT IS IN March 2025</t>
  </si>
  <si>
    <t>2022-10-28</t>
  </si>
  <si>
    <t>53402-7390489</t>
  </si>
  <si>
    <t>2022-10-03</t>
  </si>
  <si>
    <t>WIPPING TO TANDOOR</t>
  </si>
  <si>
    <t>2024-10-21</t>
  </si>
  <si>
    <t>45302-2008433</t>
  </si>
  <si>
    <t>0302-2076917</t>
  </si>
  <si>
    <t>2022-11-04</t>
  </si>
  <si>
    <t>2022-11-27</t>
  </si>
  <si>
    <t>2024-08-10</t>
  </si>
  <si>
    <t>HOUSE NO:9 BLOCK 245 C RAILWAY COLONY KARACHI</t>
  </si>
  <si>
    <t>2022-09-27</t>
  </si>
  <si>
    <t>2023-01-27</t>
  </si>
  <si>
    <t>2023-01-13</t>
  </si>
  <si>
    <t>42201-2937665</t>
  </si>
  <si>
    <t>HOUSE NO 125/3 MALIR MODEL COLONY KARACHI</t>
  </si>
  <si>
    <t>2023-01-09</t>
  </si>
  <si>
    <t>42101-7027424</t>
  </si>
  <si>
    <t>BLOCK 1B FEDERAL B AREA KARACHI</t>
  </si>
  <si>
    <t>2025-04-02</t>
  </si>
  <si>
    <t>03193069045</t>
  </si>
  <si>
    <t>Rejoin</t>
  </si>
  <si>
    <t>2025-01-03</t>
  </si>
  <si>
    <t>rejaion</t>
  </si>
  <si>
    <t>2023-02-25</t>
  </si>
  <si>
    <t>71605-0078632</t>
  </si>
  <si>
    <t>CHOTA GATE KARACHI</t>
  </si>
  <si>
    <t>2024-07-01</t>
  </si>
  <si>
    <t>0309-8735236</t>
  </si>
  <si>
    <t>0000-00-00</t>
  </si>
  <si>
    <t>71203-0174167</t>
  </si>
  <si>
    <t>2023-02-06</t>
  </si>
  <si>
    <t>2023-02-01</t>
  </si>
  <si>
    <t>2024-10-23</t>
  </si>
  <si>
    <t>42201-6275120</t>
  </si>
  <si>
    <t>0316-7551250</t>
  </si>
  <si>
    <t>REJOIN</t>
  </si>
  <si>
    <t>2021-12-08</t>
  </si>
  <si>
    <t>2022-06-06</t>
  </si>
  <si>
    <t>2024-09-07</t>
  </si>
  <si>
    <t>42000-7824353</t>
  </si>
  <si>
    <t>0318-2029350</t>
  </si>
  <si>
    <t>2023-03-03</t>
  </si>
  <si>
    <t>42601-0369136</t>
  </si>
  <si>
    <t>2024-03-08</t>
  </si>
  <si>
    <t>2023-04-17</t>
  </si>
  <si>
    <t>42201-7900040</t>
  </si>
  <si>
    <t>2023-04-06</t>
  </si>
  <si>
    <t>2023-04-07</t>
  </si>
  <si>
    <t>2023-04-12</t>
  </si>
  <si>
    <t>37101-7738194</t>
  </si>
  <si>
    <t>2023-09-04</t>
  </si>
  <si>
    <t>42601-0345890</t>
  </si>
  <si>
    <t>42201-6803834</t>
  </si>
  <si>
    <t>2023-04-25</t>
  </si>
  <si>
    <t>2023-04-20</t>
  </si>
  <si>
    <t>2023-04-23</t>
  </si>
  <si>
    <t>42604-0434625</t>
  </si>
  <si>
    <t>2024-12-20</t>
  </si>
  <si>
    <t>71601-0624413</t>
  </si>
  <si>
    <t>0317-6758865</t>
  </si>
  <si>
    <t>2023-04-22</t>
  </si>
  <si>
    <t>2023-04-26</t>
  </si>
  <si>
    <t>2022-06-12</t>
  </si>
  <si>
    <t>2023-05-01</t>
  </si>
  <si>
    <t>2025-04-10</t>
  </si>
  <si>
    <t>SECURITY (NIGHT) SLT</t>
  </si>
  <si>
    <t>JALAL</t>
  </si>
  <si>
    <t>2023-06-03</t>
  </si>
  <si>
    <t>13503-6716227</t>
  </si>
  <si>
    <t>2023-06-08</t>
  </si>
  <si>
    <t>2025-04-09</t>
  </si>
  <si>
    <t>0315-1203261</t>
  </si>
  <si>
    <t>Rejoining on april 9</t>
  </si>
  <si>
    <t>2024-10-27</t>
  </si>
  <si>
    <t>45301-8726290</t>
  </si>
  <si>
    <t>0308-5607592</t>
  </si>
  <si>
    <t>2023-06-17</t>
  </si>
  <si>
    <t>2023-06-19</t>
  </si>
  <si>
    <t>2023-06-20</t>
  </si>
  <si>
    <t>2024-10-01</t>
  </si>
  <si>
    <t>71201-3323945</t>
  </si>
  <si>
    <t>03102591291</t>
  </si>
  <si>
    <t>2023-07-10</t>
  </si>
  <si>
    <t>2023-07-16</t>
  </si>
  <si>
    <t>2024-11-08</t>
  </si>
  <si>
    <t>71202-6016931</t>
  </si>
  <si>
    <t>0355-5575499</t>
  </si>
  <si>
    <t>CHOTA GATE BUS (REJOIN)</t>
  </si>
  <si>
    <t>2023-08-17</t>
  </si>
  <si>
    <t>2023-08-16</t>
  </si>
  <si>
    <t>71202-2999004</t>
  </si>
  <si>
    <t>0355-4709025</t>
  </si>
  <si>
    <t>rejoin on 8 nov</t>
  </si>
  <si>
    <t>2025-01-01</t>
  </si>
  <si>
    <t>2023-09-27</t>
  </si>
  <si>
    <t>Misc</t>
  </si>
  <si>
    <t>GOOD JOB</t>
  </si>
  <si>
    <t>2024-08-23</t>
  </si>
  <si>
    <t>0325-3443948</t>
  </si>
  <si>
    <t>2023-10-07</t>
  </si>
  <si>
    <t>2023-10-14</t>
  </si>
  <si>
    <t>2023-10-05</t>
  </si>
  <si>
    <t>2023-10-23</t>
  </si>
  <si>
    <t>2023-10-26</t>
  </si>
  <si>
    <t>0318-1181288</t>
  </si>
  <si>
    <t>PORMOTE TO FLOOR INCHARGE</t>
  </si>
  <si>
    <t>2025-02-24</t>
  </si>
  <si>
    <t>71501-5673011</t>
  </si>
  <si>
    <t>0317-9014131</t>
  </si>
  <si>
    <t>2024-11-27</t>
  </si>
  <si>
    <t>0370-9312761</t>
  </si>
  <si>
    <t>2023-11-09</t>
  </si>
  <si>
    <t>2023-11-16</t>
  </si>
  <si>
    <t>2023-11-17</t>
  </si>
  <si>
    <t>2023-11-21</t>
  </si>
  <si>
    <t>2023-12-01</t>
  </si>
  <si>
    <t>2023-11-12</t>
  </si>
  <si>
    <t>2023-12-14</t>
  </si>
  <si>
    <t>2023-12-16</t>
  </si>
  <si>
    <t>2023-12-18</t>
  </si>
  <si>
    <t>2023-12-22</t>
  </si>
  <si>
    <t>2025-02-20</t>
  </si>
  <si>
    <t>2023-12-29</t>
  </si>
  <si>
    <t>2023-12-11</t>
  </si>
  <si>
    <t>2024-01-05</t>
  </si>
  <si>
    <t>2024-01-22</t>
  </si>
  <si>
    <t>7160-10616471</t>
  </si>
  <si>
    <t>03175527681</t>
  </si>
  <si>
    <t>2023-12-25</t>
  </si>
  <si>
    <t>2021-02-28</t>
  </si>
  <si>
    <t>Gave  Minutes grass time by boss</t>
  </si>
  <si>
    <t>2024-02-02</t>
  </si>
  <si>
    <t>2025-01-07</t>
  </si>
  <si>
    <t>0355-5910584</t>
  </si>
  <si>
    <t>Rejoining on jan 25</t>
  </si>
  <si>
    <t>2024-02-17</t>
  </si>
  <si>
    <t>2024-02-21</t>
  </si>
  <si>
    <t>2024-03-01</t>
  </si>
  <si>
    <t>03420730865</t>
  </si>
  <si>
    <t>2024-03-04</t>
  </si>
  <si>
    <t>03555001006</t>
  </si>
  <si>
    <t>2024-03-19</t>
  </si>
  <si>
    <t>03475593610</t>
  </si>
  <si>
    <t>2024-03-16</t>
  </si>
  <si>
    <t>03148007648</t>
  </si>
  <si>
    <t>2024-03-21</t>
  </si>
  <si>
    <t>034664861479</t>
  </si>
  <si>
    <t>2024-03-18</t>
  </si>
  <si>
    <t>2024-04-20</t>
  </si>
  <si>
    <t>03032645989</t>
  </si>
  <si>
    <t>2024-03-26</t>
  </si>
  <si>
    <t>2024-04-13</t>
  </si>
  <si>
    <t>2024-04-24</t>
  </si>
  <si>
    <t>2024-04-01</t>
  </si>
  <si>
    <t>45403-4557733</t>
  </si>
  <si>
    <t>03000326244</t>
  </si>
  <si>
    <t>2025-02-08</t>
  </si>
  <si>
    <t>71202-2833548</t>
  </si>
  <si>
    <t>03488091750</t>
  </si>
  <si>
    <t>REJOIN (14/02/2025)</t>
  </si>
  <si>
    <t>2024-05-01</t>
  </si>
  <si>
    <t>42201-5933199</t>
  </si>
  <si>
    <t>03101160628</t>
  </si>
  <si>
    <t>2024-05-12</t>
  </si>
  <si>
    <t>70601-0618754</t>
  </si>
  <si>
    <t>03555838997</t>
  </si>
  <si>
    <t>2024-05-16</t>
  </si>
  <si>
    <t>03175806271</t>
  </si>
  <si>
    <t>2024-05-13</t>
  </si>
  <si>
    <t>42101-0631623</t>
  </si>
  <si>
    <t>0315-8987791</t>
  </si>
  <si>
    <t>2024-05-15</t>
  </si>
  <si>
    <t>0334-1288557</t>
  </si>
  <si>
    <t>House # A-156Nazim Abad Karachi</t>
  </si>
  <si>
    <t>2024-05-09</t>
  </si>
  <si>
    <t>Drive Inn</t>
  </si>
  <si>
    <t>0312-1040468</t>
  </si>
  <si>
    <t>2025-01-22</t>
  </si>
  <si>
    <t>45203-2353019</t>
  </si>
  <si>
    <t>0300-3139758</t>
  </si>
  <si>
    <t>rejoin on 22-01-25</t>
  </si>
  <si>
    <t>2024-06-06</t>
  </si>
  <si>
    <t>42401-2665611</t>
  </si>
  <si>
    <t>0342-0240317</t>
  </si>
  <si>
    <t>2024-06-10</t>
  </si>
  <si>
    <t>71501-2304348</t>
  </si>
  <si>
    <t>0318-3690245</t>
  </si>
  <si>
    <t>2025-02-16</t>
  </si>
  <si>
    <t>13503-7042357</t>
  </si>
  <si>
    <t>0313-1213578</t>
  </si>
  <si>
    <t>2024-06-26</t>
  </si>
  <si>
    <t>71202-7671633</t>
  </si>
  <si>
    <t>03119964821</t>
  </si>
  <si>
    <t>2024-06-04</t>
  </si>
  <si>
    <t>42201-5929179</t>
  </si>
  <si>
    <t>0346-7315773</t>
  </si>
  <si>
    <t>71207-9366391</t>
  </si>
  <si>
    <t>0318-2631272</t>
  </si>
  <si>
    <t>71202-7914715</t>
  </si>
  <si>
    <t>03554990662</t>
  </si>
  <si>
    <t>2024-07-11</t>
  </si>
  <si>
    <t>42401-3660939</t>
  </si>
  <si>
    <t>0310-5015195</t>
  </si>
  <si>
    <t>2024-07-03</t>
  </si>
  <si>
    <t>42201-0782484</t>
  </si>
  <si>
    <t>0323-291458</t>
  </si>
  <si>
    <t>2024-07-08</t>
  </si>
  <si>
    <t>42201-0699154</t>
  </si>
  <si>
    <t>0306-0891612</t>
  </si>
  <si>
    <t>Salary will be re-evaluat Afer 2 Months Based on your performance</t>
  </si>
  <si>
    <t>2024-11-18</t>
  </si>
  <si>
    <t>13503-5210626</t>
  </si>
  <si>
    <t>0349-2618691</t>
  </si>
  <si>
    <t>2024-07-14</t>
  </si>
  <si>
    <t>71601-0595835</t>
  </si>
  <si>
    <t>03330217799</t>
  </si>
  <si>
    <t>2024-07-25</t>
  </si>
  <si>
    <t>17501-7021555</t>
  </si>
  <si>
    <t>03555-397939</t>
  </si>
  <si>
    <t>42201-8650482</t>
  </si>
  <si>
    <t>0315-2561715</t>
  </si>
  <si>
    <t>LAST INCREMENT IS IN march 2025</t>
  </si>
  <si>
    <t>2024-08-05</t>
  </si>
  <si>
    <t>Jalal Security Guards</t>
  </si>
  <si>
    <t>2024-08-07</t>
  </si>
  <si>
    <t>0332-3777588</t>
  </si>
  <si>
    <t>2024-08-13</t>
  </si>
  <si>
    <t>42201-9108774</t>
  </si>
  <si>
    <t>0333-2543913</t>
  </si>
  <si>
    <t>2024-08-01</t>
  </si>
  <si>
    <t>42201-909270-</t>
  </si>
  <si>
    <t>0336-3530481</t>
  </si>
  <si>
    <t>2024-08-08</t>
  </si>
  <si>
    <t>43203-5933439</t>
  </si>
  <si>
    <t>03035390027</t>
  </si>
  <si>
    <t>2024-08-06</t>
  </si>
  <si>
    <t>71203-2758375</t>
  </si>
  <si>
    <t>0349-0480088</t>
  </si>
  <si>
    <t>13504-9248795</t>
  </si>
  <si>
    <t>03410306930</t>
  </si>
  <si>
    <t>2024-08-09</t>
  </si>
  <si>
    <t>15502-6796071</t>
  </si>
  <si>
    <t>03449558116</t>
  </si>
  <si>
    <t>2024-08-18</t>
  </si>
  <si>
    <t>31302-898914-</t>
  </si>
  <si>
    <t>0300-2079176</t>
  </si>
  <si>
    <t>2024-08-21</t>
  </si>
  <si>
    <t>71104-6077945</t>
  </si>
  <si>
    <t>0344-0188034</t>
  </si>
  <si>
    <t>42201-4197307</t>
  </si>
  <si>
    <t>0316-8077182</t>
  </si>
  <si>
    <t>2024-09-01</t>
  </si>
  <si>
    <t>32404-8345703</t>
  </si>
  <si>
    <t>2024-09-06</t>
  </si>
  <si>
    <t>71202-6800057</t>
  </si>
  <si>
    <t>03160737627</t>
  </si>
  <si>
    <t>2024-09-13</t>
  </si>
  <si>
    <t>2101-5291526-</t>
  </si>
  <si>
    <t>03140091141</t>
  </si>
  <si>
    <t>2024-09-14</t>
  </si>
  <si>
    <t>2024-09-20</t>
  </si>
  <si>
    <t>71601-0585309</t>
  </si>
  <si>
    <t>03556213735</t>
  </si>
  <si>
    <t>71202-6510638</t>
  </si>
  <si>
    <t>03201349436</t>
  </si>
  <si>
    <t>42101-5776562</t>
  </si>
  <si>
    <t>0330-8649476</t>
  </si>
  <si>
    <t>shirigina bus</t>
  </si>
  <si>
    <t>2024-09-18</t>
  </si>
  <si>
    <t>45304-8188902</t>
  </si>
  <si>
    <t>71203-4502144</t>
  </si>
  <si>
    <t>03555797615</t>
  </si>
  <si>
    <t>2024-09-27</t>
  </si>
  <si>
    <t>53502-0347945</t>
  </si>
  <si>
    <t>71501-9002693</t>
  </si>
  <si>
    <t>03555254092</t>
  </si>
  <si>
    <t>71202-2421316</t>
  </si>
  <si>
    <t>0348-8803852</t>
  </si>
  <si>
    <t>21201-3236007</t>
  </si>
  <si>
    <t>03182934859</t>
  </si>
  <si>
    <t>2024-10-26</t>
  </si>
  <si>
    <t>71501-1972240</t>
  </si>
  <si>
    <t>0316-5027404</t>
  </si>
  <si>
    <t>Korangi Bus</t>
  </si>
  <si>
    <t>2024-10-28</t>
  </si>
  <si>
    <t>71203-6722838</t>
  </si>
  <si>
    <t>0318-3889153</t>
  </si>
  <si>
    <t>Akhter Colony bus</t>
  </si>
  <si>
    <t>2024-10-03</t>
  </si>
  <si>
    <t>71602-0360830</t>
  </si>
  <si>
    <t>03708474734</t>
  </si>
  <si>
    <t>42201-4528447</t>
  </si>
  <si>
    <t>03142109616</t>
  </si>
  <si>
    <t>2024-10-09</t>
  </si>
  <si>
    <t>15201--386359</t>
  </si>
  <si>
    <t>03462499357</t>
  </si>
  <si>
    <t>2024-10-15</t>
  </si>
  <si>
    <t>3240-48795962</t>
  </si>
  <si>
    <t>2025-03-01</t>
  </si>
  <si>
    <t>43504-0605280</t>
  </si>
  <si>
    <t>32404-2266723</t>
  </si>
  <si>
    <t>32404-6660774</t>
  </si>
  <si>
    <t>2024-10-12</t>
  </si>
  <si>
    <t>17101-6925445</t>
  </si>
  <si>
    <t>03412219893</t>
  </si>
  <si>
    <t>2024-10-08</t>
  </si>
  <si>
    <t>71202-4883001</t>
  </si>
  <si>
    <t>03700182240</t>
  </si>
  <si>
    <t>2024-10-16</t>
  </si>
  <si>
    <t>71202-9741694</t>
  </si>
  <si>
    <t>0311-5395233</t>
  </si>
  <si>
    <t>15101-4782250</t>
  </si>
  <si>
    <t>03408774231</t>
  </si>
  <si>
    <t>13401-4329480</t>
  </si>
  <si>
    <t>0355-4859775</t>
  </si>
  <si>
    <t>Akhter Colony Bus</t>
  </si>
  <si>
    <t>2024-10-13</t>
  </si>
  <si>
    <t>42201-0238330</t>
  </si>
  <si>
    <t>0324-*8021640</t>
  </si>
  <si>
    <t>shah faisal bus</t>
  </si>
  <si>
    <t>2024-10-14</t>
  </si>
  <si>
    <t>422301-397236</t>
  </si>
  <si>
    <t>0316-2684969</t>
  </si>
  <si>
    <t>Self</t>
  </si>
  <si>
    <t>71501-4900517</t>
  </si>
  <si>
    <t>Self Conveyence</t>
  </si>
  <si>
    <t>2025-02-15</t>
  </si>
  <si>
    <t>42201-2639493</t>
  </si>
  <si>
    <t>0315-8243661</t>
  </si>
  <si>
    <t>2025-04-15</t>
  </si>
  <si>
    <t>71202-3962119</t>
  </si>
  <si>
    <t>03424408171</t>
  </si>
  <si>
    <t>41304-4474151</t>
  </si>
  <si>
    <t>03199240484</t>
  </si>
  <si>
    <t>2024-10-19</t>
  </si>
  <si>
    <t>45208-7168009</t>
  </si>
  <si>
    <t>03043431467</t>
  </si>
  <si>
    <t>13201-5559110</t>
  </si>
  <si>
    <t>0332978654</t>
  </si>
  <si>
    <t>16203-0400834</t>
  </si>
  <si>
    <t>03433170192</t>
  </si>
  <si>
    <t>2024-10-22</t>
  </si>
  <si>
    <t>42201-1438447</t>
  </si>
  <si>
    <t>0327-2017752</t>
  </si>
  <si>
    <t>Shah Faisal Bus</t>
  </si>
  <si>
    <t>5340-53634966</t>
  </si>
  <si>
    <t>0325-8985800</t>
  </si>
  <si>
    <t>2024-10-20</t>
  </si>
  <si>
    <t>71202-8536521</t>
  </si>
  <si>
    <t>03554535144</t>
  </si>
  <si>
    <t>41303-4925810</t>
  </si>
  <si>
    <t>0345-4884829</t>
  </si>
  <si>
    <t>2025-01-14</t>
  </si>
  <si>
    <t>71501-0859553</t>
  </si>
  <si>
    <t>0370-3018295</t>
  </si>
  <si>
    <t>2024-11-04</t>
  </si>
  <si>
    <t>42401-6883575</t>
  </si>
  <si>
    <t>0331-83454548</t>
  </si>
  <si>
    <t>KEMARI BUS</t>
  </si>
  <si>
    <t>71602-0352366</t>
  </si>
  <si>
    <t>0337-2393350</t>
  </si>
  <si>
    <t>2024-11-09</t>
  </si>
  <si>
    <t>71601-0602303</t>
  </si>
  <si>
    <t>0318-3800069</t>
  </si>
  <si>
    <t>2024-11-05</t>
  </si>
  <si>
    <t>42501-1129654</t>
  </si>
  <si>
    <t>JION US ON 5TH NOV</t>
  </si>
  <si>
    <t>71202-1206203</t>
  </si>
  <si>
    <t>03555171444</t>
  </si>
  <si>
    <t>2024-11-14</t>
  </si>
  <si>
    <t>15201-0114065</t>
  </si>
  <si>
    <t>0346-8070620</t>
  </si>
  <si>
    <t>2024-11-15</t>
  </si>
  <si>
    <t>71602-0345743</t>
  </si>
  <si>
    <t>03554451276</t>
  </si>
  <si>
    <t>2024-11-16</t>
  </si>
  <si>
    <t>71602-0351737</t>
  </si>
  <si>
    <t>0355-2846250</t>
  </si>
  <si>
    <t>shift time start from 6:30pm</t>
  </si>
  <si>
    <t>03226040244</t>
  </si>
  <si>
    <t>03293984069</t>
  </si>
  <si>
    <t>24401-8040110</t>
  </si>
  <si>
    <t>0349-2089265</t>
  </si>
  <si>
    <t>71601-0584968</t>
  </si>
  <si>
    <t>03554773120</t>
  </si>
  <si>
    <t>2024-11-22</t>
  </si>
  <si>
    <t>42101-1730836</t>
  </si>
  <si>
    <t>0370-0240995</t>
  </si>
  <si>
    <t>2024-11-21</t>
  </si>
  <si>
    <t>42101-9915699</t>
  </si>
  <si>
    <t>0340-3982735</t>
  </si>
  <si>
    <t>2024-11-06</t>
  </si>
  <si>
    <t>32404-4985562</t>
  </si>
  <si>
    <t>55103-8791352</t>
  </si>
  <si>
    <t>2024-11-26</t>
  </si>
  <si>
    <t>41202-8096475</t>
  </si>
  <si>
    <t>03101322742</t>
  </si>
  <si>
    <t>2024-12-03</t>
  </si>
  <si>
    <t>42201-9552627</t>
  </si>
  <si>
    <t>0315-2651619</t>
  </si>
  <si>
    <t>2024-11-30</t>
  </si>
  <si>
    <t>42301-7497354</t>
  </si>
  <si>
    <t>03220998759</t>
  </si>
  <si>
    <t>2024-12-01</t>
  </si>
  <si>
    <t>15201-3779046</t>
  </si>
  <si>
    <t>0345-0609905</t>
  </si>
  <si>
    <t>42101-1923007</t>
  </si>
  <si>
    <t>0300-9243425</t>
  </si>
  <si>
    <t>0322-2314801</t>
  </si>
  <si>
    <t>42201-9313720</t>
  </si>
  <si>
    <t>0300-2793911</t>
  </si>
  <si>
    <t>2024-12-12</t>
  </si>
  <si>
    <t>45302-1958383</t>
  </si>
  <si>
    <t>0327-2540782</t>
  </si>
  <si>
    <t>2024-12-14</t>
  </si>
  <si>
    <t>42201-0248408</t>
  </si>
  <si>
    <t>03332225392</t>
  </si>
  <si>
    <t>42201-6356415</t>
  </si>
  <si>
    <t>03442694569</t>
  </si>
  <si>
    <t>2024-12-16</t>
  </si>
  <si>
    <t>42201-0563406</t>
  </si>
  <si>
    <t>0337892195</t>
  </si>
  <si>
    <t>71102-3672548</t>
  </si>
  <si>
    <t>03555400580</t>
  </si>
  <si>
    <t>2024-12-15</t>
  </si>
  <si>
    <t>32301-1980887</t>
  </si>
  <si>
    <t>03097707462</t>
  </si>
  <si>
    <t>2024-12-21</t>
  </si>
  <si>
    <t>71602-0366607</t>
  </si>
  <si>
    <t>03554365865</t>
  </si>
  <si>
    <t>71602-0345898</t>
  </si>
  <si>
    <t>0355-4452727</t>
  </si>
  <si>
    <t>71202-4049928</t>
  </si>
  <si>
    <t>0311-9719066</t>
  </si>
  <si>
    <t>71203-6755005</t>
  </si>
  <si>
    <t>0319-5427791</t>
  </si>
  <si>
    <t>71202-2982785</t>
  </si>
  <si>
    <t>0355-4482394</t>
  </si>
  <si>
    <t>71202-4470119</t>
  </si>
  <si>
    <t>0340-8458856</t>
  </si>
  <si>
    <t>2024-12-19</t>
  </si>
  <si>
    <t>71202-7964057</t>
  </si>
  <si>
    <t>0341-1591660</t>
  </si>
  <si>
    <t>42201-3789365</t>
  </si>
  <si>
    <t>0319-2335478</t>
  </si>
  <si>
    <t>2024-12-08</t>
  </si>
  <si>
    <t>15201-8315046</t>
  </si>
  <si>
    <t>0341-2037219</t>
  </si>
  <si>
    <t>2024-12-28</t>
  </si>
  <si>
    <t>42604-0434621</t>
  </si>
  <si>
    <t>0311-1211839</t>
  </si>
  <si>
    <t>2024-12-26</t>
  </si>
  <si>
    <t>71202-9879256</t>
  </si>
  <si>
    <t>0355-5343754</t>
  </si>
  <si>
    <t>2024-12-18</t>
  </si>
  <si>
    <t>0355-4406266</t>
  </si>
  <si>
    <t>71202-9631031</t>
  </si>
  <si>
    <t>0344-1088854</t>
  </si>
  <si>
    <t>2024-12-27</t>
  </si>
  <si>
    <t>71202-9395987</t>
  </si>
  <si>
    <t>0317-8823250</t>
  </si>
  <si>
    <t>71602-0345809</t>
  </si>
  <si>
    <t>0355-5448434</t>
  </si>
  <si>
    <t>71501-9450349</t>
  </si>
  <si>
    <t>0318-7461874</t>
  </si>
  <si>
    <t>2024-12-24</t>
  </si>
  <si>
    <t>0355-3938408</t>
  </si>
  <si>
    <t>2024-12-30</t>
  </si>
  <si>
    <t>71601-0609511</t>
  </si>
  <si>
    <t>031303832274</t>
  </si>
  <si>
    <t>71202-7221542</t>
  </si>
  <si>
    <t>03554644754</t>
  </si>
  <si>
    <t>2024-12-31</t>
  </si>
  <si>
    <t>42201-5717651</t>
  </si>
  <si>
    <t>03222927189</t>
  </si>
  <si>
    <t>53405-8885495</t>
  </si>
  <si>
    <t>03322538022</t>
  </si>
  <si>
    <t>42201-6196294</t>
  </si>
  <si>
    <t>03177504790</t>
  </si>
  <si>
    <t>0370-2535663</t>
  </si>
  <si>
    <t>71202-4340572</t>
  </si>
  <si>
    <t>03182554836</t>
  </si>
  <si>
    <t>2025-01-10</t>
  </si>
  <si>
    <t>42201-4056574</t>
  </si>
  <si>
    <t>03150822995</t>
  </si>
  <si>
    <t>2025-01-09</t>
  </si>
  <si>
    <t>71203-7902360</t>
  </si>
  <si>
    <t>03555378643</t>
  </si>
  <si>
    <t>7120-27568684</t>
  </si>
  <si>
    <t>0348849017</t>
  </si>
  <si>
    <t>2025-01-11</t>
  </si>
  <si>
    <t>42101-4584549</t>
  </si>
  <si>
    <t>03121246325</t>
  </si>
  <si>
    <t>2025-01-12</t>
  </si>
  <si>
    <t>42201-3673154</t>
  </si>
  <si>
    <t>03222244205</t>
  </si>
  <si>
    <t>2025-01-13</t>
  </si>
  <si>
    <t>162025-265998</t>
  </si>
  <si>
    <t>03459508160</t>
  </si>
  <si>
    <t>2025-01-18</t>
  </si>
  <si>
    <t>15201-7532758</t>
  </si>
  <si>
    <t>03153174449</t>
  </si>
  <si>
    <t>he transfer toi bbq department on 19 feb</t>
  </si>
  <si>
    <t>2025-01-16</t>
  </si>
  <si>
    <t>71601-0614737</t>
  </si>
  <si>
    <t>03295204620</t>
  </si>
  <si>
    <t>42201-7527936</t>
  </si>
  <si>
    <t>03331319210</t>
  </si>
  <si>
    <t>2025-01-20</t>
  </si>
  <si>
    <t>14301-2380611</t>
  </si>
  <si>
    <t>03703707424</t>
  </si>
  <si>
    <t>42201-5767318</t>
  </si>
  <si>
    <t>0304-3932710</t>
  </si>
  <si>
    <t>0312-8818010</t>
  </si>
  <si>
    <t>2025-01-17</t>
  </si>
  <si>
    <t>42101-1892448</t>
  </si>
  <si>
    <t>0317-2721832</t>
  </si>
  <si>
    <t>2025-01-19</t>
  </si>
  <si>
    <t>14301-6968178</t>
  </si>
  <si>
    <t>0314-0202215</t>
  </si>
  <si>
    <t>42201-1658389</t>
  </si>
  <si>
    <t>0330-3121473</t>
  </si>
  <si>
    <t>71203-6999289</t>
  </si>
  <si>
    <t>03558294018</t>
  </si>
  <si>
    <t>2025-02-01</t>
  </si>
  <si>
    <t>42201-2690860</t>
  </si>
  <si>
    <t>03452153061</t>
  </si>
  <si>
    <t>42201-5393489</t>
  </si>
  <si>
    <t>03188298008</t>
  </si>
  <si>
    <t>2025-02-03</t>
  </si>
  <si>
    <t>7501-1844944-</t>
  </si>
  <si>
    <t>03490881944</t>
  </si>
  <si>
    <t>7120-26515142</t>
  </si>
  <si>
    <t>03438818067</t>
  </si>
  <si>
    <t>2025-02-02</t>
  </si>
  <si>
    <t>42201-6397988</t>
  </si>
  <si>
    <t>03482985933</t>
  </si>
  <si>
    <t>71601-0618292</t>
  </si>
  <si>
    <t>03185414373</t>
  </si>
  <si>
    <t>7120-16482197</t>
  </si>
  <si>
    <t>03105178287</t>
  </si>
  <si>
    <t>2120-20267340</t>
  </si>
  <si>
    <t>03555753214</t>
  </si>
  <si>
    <t>2025-02-04</t>
  </si>
  <si>
    <t>1501-6519455-</t>
  </si>
  <si>
    <t>03481906881</t>
  </si>
  <si>
    <t>2025-02-06</t>
  </si>
  <si>
    <t>5340-58885495</t>
  </si>
  <si>
    <t>03043717218</t>
  </si>
  <si>
    <t>4220-12222478</t>
  </si>
  <si>
    <t>03422442144</t>
  </si>
  <si>
    <t>03255231193</t>
  </si>
  <si>
    <t>2025-02-07</t>
  </si>
  <si>
    <t>42201-476939-</t>
  </si>
  <si>
    <t>03302589433</t>
  </si>
  <si>
    <t>2025-02-11</t>
  </si>
  <si>
    <t>7120-20103117</t>
  </si>
  <si>
    <t>03408013796</t>
  </si>
  <si>
    <t>2025-02-12</t>
  </si>
  <si>
    <t>43102-7751927</t>
  </si>
  <si>
    <t>0314-2010289</t>
  </si>
  <si>
    <t>4210-11941873</t>
  </si>
  <si>
    <t>03162591817</t>
  </si>
  <si>
    <t>2025-02-10</t>
  </si>
  <si>
    <t>13303-5863543</t>
  </si>
  <si>
    <t>03209743485</t>
  </si>
  <si>
    <t>03151216404</t>
  </si>
  <si>
    <t>2025-02-09</t>
  </si>
  <si>
    <t>42201-6509833</t>
  </si>
  <si>
    <t>03437704441</t>
  </si>
  <si>
    <t>2025-02-18</t>
  </si>
  <si>
    <t>0319-4062147</t>
  </si>
  <si>
    <t>NEW JOINE</t>
  </si>
  <si>
    <t>2025-02-14</t>
  </si>
  <si>
    <t>2025-02-19</t>
  </si>
  <si>
    <t>03333532158</t>
  </si>
  <si>
    <t>0305-2930314</t>
  </si>
  <si>
    <t>0331-7291489</t>
  </si>
  <si>
    <t>2025-02-17</t>
  </si>
  <si>
    <t>0307-9285662</t>
  </si>
  <si>
    <t>0355-4272935</t>
  </si>
  <si>
    <t>0355-4738882</t>
  </si>
  <si>
    <t>0349-5342014</t>
  </si>
  <si>
    <t>2025-02-21</t>
  </si>
  <si>
    <t>2025-02-26</t>
  </si>
  <si>
    <t>2025-02-28</t>
  </si>
  <si>
    <t>1430-4160217-</t>
  </si>
  <si>
    <t>031894463</t>
  </si>
  <si>
    <t>42201-1228859</t>
  </si>
  <si>
    <t>71501-3878184</t>
  </si>
  <si>
    <t>03112796077</t>
  </si>
  <si>
    <t>03272142870</t>
  </si>
  <si>
    <t>2025-04-03</t>
  </si>
  <si>
    <t>0333-4133966</t>
  </si>
  <si>
    <t>0311-3240032</t>
  </si>
  <si>
    <t>2025-03-05</t>
  </si>
  <si>
    <t>2025-03-07</t>
  </si>
  <si>
    <t>2025-03-10</t>
  </si>
  <si>
    <t>2025-03-09</t>
  </si>
  <si>
    <t>2025-03-17</t>
  </si>
  <si>
    <t>REJOIN 17-03-25</t>
  </si>
  <si>
    <t>2025-03-13</t>
  </si>
  <si>
    <t>2025-03-12</t>
  </si>
  <si>
    <t>71202-0511444</t>
  </si>
  <si>
    <t>C/O WASEEM CHEF</t>
  </si>
  <si>
    <t>2025-03-11</t>
  </si>
  <si>
    <t>2025-03-14</t>
  </si>
  <si>
    <t>2025-03-15</t>
  </si>
  <si>
    <t>2025-03-16</t>
  </si>
  <si>
    <t>712025992433-</t>
  </si>
  <si>
    <t>03553949144</t>
  </si>
  <si>
    <t>H. LEAF SECTION</t>
  </si>
  <si>
    <t>0347-2025141</t>
  </si>
  <si>
    <t>42003-202271-</t>
  </si>
  <si>
    <t>0343-3348993</t>
  </si>
  <si>
    <t>70202-6136222</t>
  </si>
  <si>
    <t>03554279644</t>
  </si>
  <si>
    <t>71202-309058-</t>
  </si>
  <si>
    <t>03255583244</t>
  </si>
  <si>
    <t>42201-3329726</t>
  </si>
  <si>
    <t>03437075159</t>
  </si>
  <si>
    <t>2025-03-18</t>
  </si>
  <si>
    <t>71601-0615288</t>
  </si>
  <si>
    <t>0312-9709276</t>
  </si>
  <si>
    <t>No Transportation selection in  emp form</t>
  </si>
  <si>
    <t>2025-03-21</t>
  </si>
  <si>
    <t>71202-9397149</t>
  </si>
  <si>
    <t>03193964427</t>
  </si>
  <si>
    <t>71601-0619232</t>
  </si>
  <si>
    <t>03468931200</t>
  </si>
  <si>
    <t>712017-191561</t>
  </si>
  <si>
    <t>03556063056</t>
  </si>
  <si>
    <t>2025-03-20</t>
  </si>
  <si>
    <t>71201-8141119</t>
  </si>
  <si>
    <t>03555168951</t>
  </si>
  <si>
    <t>2025-03-26</t>
  </si>
  <si>
    <t>2025-02-22</t>
  </si>
  <si>
    <t>13504-0994435</t>
  </si>
  <si>
    <t>03444427501</t>
  </si>
  <si>
    <t>0335-3653479</t>
  </si>
  <si>
    <t>2025-03-23</t>
  </si>
  <si>
    <t>2025-03-25</t>
  </si>
  <si>
    <t>2025-03-28</t>
  </si>
  <si>
    <t>2025-04-30</t>
  </si>
  <si>
    <t>42201-7865980</t>
  </si>
  <si>
    <t>2025-03-29</t>
  </si>
  <si>
    <t>71601-0592939</t>
  </si>
  <si>
    <t>0317-5036013</t>
  </si>
  <si>
    <t>42401-9947684</t>
  </si>
  <si>
    <t>0310-6493139</t>
  </si>
  <si>
    <t>32404-5371846</t>
  </si>
  <si>
    <t>2025-03-31</t>
  </si>
  <si>
    <t>0340-2656515</t>
  </si>
  <si>
    <t>42201-4369277</t>
  </si>
  <si>
    <t>03341714599</t>
  </si>
  <si>
    <t>03232398499</t>
  </si>
  <si>
    <t>2025-04-01</t>
  </si>
  <si>
    <t>71601-0597822</t>
  </si>
  <si>
    <t>03703334414</t>
  </si>
  <si>
    <t>03458032243</t>
  </si>
  <si>
    <t>2025-04-04</t>
  </si>
  <si>
    <t>42201-0734440</t>
  </si>
  <si>
    <t>03343952658</t>
  </si>
  <si>
    <t>42201-5641222</t>
  </si>
  <si>
    <t>03706008651</t>
  </si>
  <si>
    <t>03702005338</t>
  </si>
  <si>
    <t>42301-0346890</t>
  </si>
  <si>
    <t>03191028901</t>
  </si>
  <si>
    <t>2025-04-13</t>
  </si>
  <si>
    <t>45404-0558759</t>
  </si>
  <si>
    <t>0303-3453011</t>
  </si>
  <si>
    <t>71202-1847714</t>
  </si>
  <si>
    <t>03555471531</t>
  </si>
  <si>
    <t>42201-2948192</t>
  </si>
  <si>
    <t>0310-1169889</t>
  </si>
  <si>
    <t>2025-04-11</t>
  </si>
  <si>
    <t>2025-04-16</t>
  </si>
  <si>
    <t>71601-0606100</t>
  </si>
  <si>
    <t>0355-5047119</t>
  </si>
  <si>
    <t>2025-04-12</t>
  </si>
  <si>
    <t>2025-04-19</t>
  </si>
  <si>
    <t>2025-04-18</t>
  </si>
  <si>
    <t>TRAINEE OT</t>
  </si>
  <si>
    <t>2025-04-17</t>
  </si>
  <si>
    <t>71202-2614512</t>
  </si>
  <si>
    <t>03115390218</t>
  </si>
  <si>
    <t>71501-4255300</t>
  </si>
  <si>
    <t>0315-3266627</t>
  </si>
  <si>
    <t>2025-04-20</t>
  </si>
  <si>
    <t>71202-6034498</t>
  </si>
  <si>
    <t>03408820633</t>
  </si>
  <si>
    <t>71202-5876025</t>
  </si>
  <si>
    <t>03554441877</t>
  </si>
  <si>
    <t>03143277682</t>
  </si>
  <si>
    <t>42501-3009187</t>
  </si>
  <si>
    <t>03152048899</t>
  </si>
  <si>
    <t>03306883453</t>
  </si>
  <si>
    <t>0348-8429006</t>
  </si>
  <si>
    <t>0317-3450156</t>
  </si>
  <si>
    <t>2025-04-21</t>
  </si>
  <si>
    <t>2025-04-22</t>
  </si>
  <si>
    <t>2025-04-24</t>
  </si>
  <si>
    <t>2025-04-23</t>
  </si>
  <si>
    <t>0327-2336765</t>
  </si>
  <si>
    <t>2025-04-25</t>
  </si>
  <si>
    <t>2025-04-27</t>
  </si>
  <si>
    <t>43504-0368976</t>
  </si>
  <si>
    <t>2025-05-01</t>
  </si>
  <si>
    <t>2025-05-02</t>
  </si>
  <si>
    <t>03073930866</t>
  </si>
  <si>
    <t>03485227255</t>
  </si>
  <si>
    <t>41101-7892011</t>
  </si>
  <si>
    <t>03377763410</t>
  </si>
  <si>
    <t>2025-04-28</t>
  </si>
  <si>
    <t>41101-4704041</t>
  </si>
  <si>
    <t>0337174506</t>
  </si>
  <si>
    <t>41101-3248796</t>
  </si>
  <si>
    <t>03481797022</t>
  </si>
  <si>
    <t>42201-0561441</t>
  </si>
  <si>
    <t>42201-8117949</t>
  </si>
  <si>
    <t>2025-04-14</t>
  </si>
  <si>
    <t>42101-7860998</t>
  </si>
  <si>
    <t>0314225953</t>
  </si>
  <si>
    <t>4440-27798389</t>
  </si>
  <si>
    <t>03152910480</t>
  </si>
  <si>
    <t>44206-2926621</t>
  </si>
  <si>
    <t>0313-3133579</t>
  </si>
  <si>
    <t>43301-9534457</t>
  </si>
  <si>
    <t>03123428205</t>
  </si>
  <si>
    <t>2025-05-05</t>
  </si>
  <si>
    <t>71602-0345769</t>
  </si>
  <si>
    <t>031199808</t>
  </si>
  <si>
    <t>03131297206</t>
  </si>
  <si>
    <t>53405-7772542</t>
  </si>
  <si>
    <t>03303006348</t>
  </si>
  <si>
    <t>1510-5419462-</t>
  </si>
  <si>
    <t>03307037581</t>
  </si>
  <si>
    <t>7140-27110142</t>
  </si>
  <si>
    <t>03130880929</t>
  </si>
  <si>
    <t>42401-5811394</t>
  </si>
  <si>
    <t>03472482973</t>
  </si>
  <si>
    <t>42501-6074424</t>
  </si>
  <si>
    <t>03112446640</t>
  </si>
  <si>
    <t>42201-8619496</t>
  </si>
  <si>
    <t>03190145581</t>
  </si>
  <si>
    <t>15101-0336380</t>
  </si>
  <si>
    <t>03430294192</t>
  </si>
  <si>
    <t>71203-2970082</t>
  </si>
  <si>
    <t>03555482950</t>
  </si>
  <si>
    <t>71202-9434639</t>
  </si>
  <si>
    <t>03158322661</t>
  </si>
  <si>
    <t>03119731530</t>
  </si>
  <si>
    <t>2025-05-07</t>
  </si>
  <si>
    <t>71202-1755378</t>
  </si>
  <si>
    <t>0346724885</t>
  </si>
  <si>
    <t>2025-05-04</t>
  </si>
  <si>
    <t>425001-915436</t>
  </si>
  <si>
    <t>03062856385</t>
  </si>
  <si>
    <t>53202-4987154</t>
  </si>
  <si>
    <t>03440417083</t>
  </si>
  <si>
    <t>71501-6764213</t>
  </si>
  <si>
    <t>03555914471</t>
  </si>
  <si>
    <t>2025-05-09</t>
  </si>
  <si>
    <t>42501-5806545</t>
  </si>
  <si>
    <t>03182538437</t>
  </si>
  <si>
    <t>2025-05-03</t>
  </si>
  <si>
    <t>41303-9513038</t>
  </si>
  <si>
    <t>0344-2235072</t>
  </si>
  <si>
    <t>42200-0382686</t>
  </si>
  <si>
    <t>0321-3825038</t>
  </si>
  <si>
    <t>42201-4719723</t>
  </si>
  <si>
    <t>03196686265</t>
  </si>
  <si>
    <t>0326-9399461</t>
  </si>
  <si>
    <t>2025-05-13</t>
  </si>
  <si>
    <t>44204-1386980</t>
  </si>
  <si>
    <t>0301-6395221</t>
  </si>
  <si>
    <t>24/7</t>
  </si>
  <si>
    <t>2025-05-18</t>
  </si>
  <si>
    <t>44206-1892192</t>
  </si>
  <si>
    <t>0315-1168714</t>
  </si>
  <si>
    <t>2025-05-16</t>
  </si>
  <si>
    <t>2025-05-15</t>
  </si>
  <si>
    <t>42201-8016786</t>
  </si>
  <si>
    <t>03353998052</t>
  </si>
  <si>
    <t>44204-6817816</t>
  </si>
  <si>
    <t>0309397719</t>
  </si>
  <si>
    <t>42401-7777689</t>
  </si>
  <si>
    <t>03700588807</t>
  </si>
  <si>
    <t>42201-3597028</t>
  </si>
  <si>
    <t>0335-3483539</t>
  </si>
  <si>
    <t>2025-05-22</t>
  </si>
  <si>
    <t>15503-5398431</t>
  </si>
  <si>
    <t>03442522503</t>
  </si>
  <si>
    <t>71202-8314740</t>
  </si>
  <si>
    <t>03119760112</t>
  </si>
  <si>
    <t>2025-05-20</t>
  </si>
  <si>
    <t>42201-2283419</t>
  </si>
  <si>
    <t>03142174490</t>
  </si>
  <si>
    <t>2025-05-12</t>
  </si>
  <si>
    <t>43302-3595924</t>
  </si>
  <si>
    <t>03259381402</t>
  </si>
  <si>
    <t>Department as per salary sheet</t>
  </si>
  <si>
    <t>Designation as per salary sheet</t>
  </si>
  <si>
    <t xml:space="preserve">HARIS AWAN </t>
  </si>
  <si>
    <t xml:space="preserve">USAMA </t>
  </si>
  <si>
    <t xml:space="preserve">AKBER ALI KHAN </t>
  </si>
  <si>
    <t xml:space="preserve">AQIB KHAN </t>
  </si>
  <si>
    <t xml:space="preserve">ABDUL RAUF </t>
  </si>
  <si>
    <t xml:space="preserve">M. HANEEF </t>
  </si>
  <si>
    <t xml:space="preserve">M. RAFIQUE </t>
  </si>
  <si>
    <t xml:space="preserve">DANISH RANA </t>
  </si>
  <si>
    <t xml:space="preserve">RIZWAN ULLAH </t>
  </si>
  <si>
    <t xml:space="preserve">AMEEN </t>
  </si>
  <si>
    <t xml:space="preserve">SHUJAD ALI </t>
  </si>
  <si>
    <t xml:space="preserve">RAFI ULLAH </t>
  </si>
  <si>
    <t xml:space="preserve">FAROOQ AHMED </t>
  </si>
  <si>
    <t xml:space="preserve">ARBAZ KHAN </t>
  </si>
  <si>
    <t xml:space="preserve">AHRAR AHMED </t>
  </si>
  <si>
    <t xml:space="preserve">SYED TALHA </t>
  </si>
  <si>
    <t xml:space="preserve">ASAD MUNEER </t>
  </si>
  <si>
    <t xml:space="preserve">MUNTAZIR MEHDI </t>
  </si>
  <si>
    <t xml:space="preserve">MUHAMMAD HUSSAIN </t>
  </si>
  <si>
    <t xml:space="preserve">NOMAN KHAN </t>
  </si>
  <si>
    <t xml:space="preserve">M. FAIZAN KHAN </t>
  </si>
  <si>
    <t xml:space="preserve">NAZEER ULLAH KHAN </t>
  </si>
  <si>
    <t xml:space="preserve">AHMED ULLAH </t>
  </si>
  <si>
    <t xml:space="preserve">MEHMOOD </t>
  </si>
  <si>
    <t xml:space="preserve">IRFAN SHAH </t>
  </si>
  <si>
    <t xml:space="preserve">ZAHID HUSSAIN </t>
  </si>
  <si>
    <t xml:space="preserve">RAJ MUHAMMAD </t>
  </si>
  <si>
    <t>USAMA  AMEEN</t>
  </si>
  <si>
    <t xml:space="preserve">HAJI AKBAR </t>
  </si>
  <si>
    <t xml:space="preserve">SIRAJ UDDIN </t>
  </si>
  <si>
    <t xml:space="preserve">MEHBOOB  </t>
  </si>
  <si>
    <t xml:space="preserve">FAHEEM AHMED </t>
  </si>
  <si>
    <t xml:space="preserve">AHSAN ALI </t>
  </si>
  <si>
    <t xml:space="preserve">REHMAT ALI </t>
  </si>
  <si>
    <t xml:space="preserve">SALMAN KHAN </t>
  </si>
  <si>
    <t xml:space="preserve">MUJEEEB ULLAH </t>
  </si>
  <si>
    <t xml:space="preserve">WASEEM AHMED SINDHI </t>
  </si>
  <si>
    <t xml:space="preserve">IMRAN </t>
  </si>
  <si>
    <t xml:space="preserve">SHERBAZ HASAN </t>
  </si>
  <si>
    <t xml:space="preserve">AHSAN </t>
  </si>
  <si>
    <t xml:space="preserve">SHEHRYAR HASAN </t>
  </si>
  <si>
    <t xml:space="preserve">USAMA KHAN </t>
  </si>
  <si>
    <t xml:space="preserve">AMIR </t>
  </si>
  <si>
    <t xml:space="preserve">OWAIS AHMED </t>
  </si>
  <si>
    <t xml:space="preserve">SUBHAN </t>
  </si>
  <si>
    <t xml:space="preserve">MOHSIN KHAN </t>
  </si>
  <si>
    <t xml:space="preserve">ABID ALI </t>
  </si>
  <si>
    <t xml:space="preserve">SOHAIL KHAN </t>
  </si>
  <si>
    <t xml:space="preserve">RASHEED HUSSAIN </t>
  </si>
  <si>
    <t xml:space="preserve">SALEEM  </t>
  </si>
  <si>
    <t xml:space="preserve">FAIZAN </t>
  </si>
  <si>
    <t xml:space="preserve">SHAFIQ AHMED </t>
  </si>
  <si>
    <t xml:space="preserve">HAMMAD KHAN </t>
  </si>
  <si>
    <t xml:space="preserve">SADDAM HUSSAIN </t>
  </si>
  <si>
    <t xml:space="preserve">IDREES KHAN </t>
  </si>
  <si>
    <t xml:space="preserve">M. SHAKEEL </t>
  </si>
  <si>
    <t xml:space="preserve">M. ISMAIL YASEEN </t>
  </si>
  <si>
    <t xml:space="preserve">MEHBOOB KHAN </t>
  </si>
  <si>
    <t xml:space="preserve">SAIFULAH </t>
  </si>
  <si>
    <t xml:space="preserve">ASHRAF ALI </t>
  </si>
  <si>
    <t xml:space="preserve">SAAD ELAHI </t>
  </si>
  <si>
    <t xml:space="preserve">ALI AWAN </t>
  </si>
  <si>
    <t xml:space="preserve">TARIQ </t>
  </si>
  <si>
    <t xml:space="preserve">IKRAM ULLAH </t>
  </si>
  <si>
    <t xml:space="preserve">OWAIS TANOLI </t>
  </si>
  <si>
    <t>SHER ALI</t>
  </si>
  <si>
    <t xml:space="preserve">SAJJAD </t>
  </si>
  <si>
    <t>MOMO</t>
  </si>
  <si>
    <t xml:space="preserve">MUSHTAQ </t>
  </si>
  <si>
    <t xml:space="preserve">MUHAMMAD ATIF </t>
  </si>
  <si>
    <t>Gul Hasan</t>
  </si>
  <si>
    <t>FAIZ MUHAMMED</t>
  </si>
  <si>
    <t>ZAHOOR ALI</t>
  </si>
  <si>
    <t>DAR MUHAMMED</t>
  </si>
  <si>
    <t xml:space="preserve">Zulfiqar Ahmed </t>
  </si>
  <si>
    <t>MUHAMMED HANIF</t>
  </si>
  <si>
    <t>KHUDA BAXSH</t>
  </si>
  <si>
    <t>MUHAMMED ZAHID</t>
  </si>
  <si>
    <t>SHAIR MUHAMMED</t>
  </si>
  <si>
    <t>ZAHID QURESHI</t>
  </si>
  <si>
    <t>SAFEER HUSSAIN</t>
  </si>
  <si>
    <t>MAJID</t>
  </si>
  <si>
    <t>ALI HASAN</t>
  </si>
  <si>
    <t>MURZADA</t>
  </si>
  <si>
    <t>ABDUL KHALIQ</t>
  </si>
  <si>
    <t>AZIZ ULLAH</t>
  </si>
  <si>
    <t>HABIB</t>
  </si>
  <si>
    <t>WASEEM</t>
  </si>
  <si>
    <t>GHULAM RASOOL</t>
  </si>
  <si>
    <t>MUSHTAQ (EJAZ STAFF)</t>
  </si>
  <si>
    <t>Nadeem Massi</t>
  </si>
  <si>
    <t>Kamran Fazal</t>
  </si>
  <si>
    <t>IMRAN FAZAL</t>
  </si>
  <si>
    <t>SANA ULLAH</t>
  </si>
  <si>
    <t>SEEWA KHAN</t>
  </si>
  <si>
    <t>MUHAMMAD JAMSHED</t>
  </si>
  <si>
    <t xml:space="preserve">AKBER ALI </t>
  </si>
  <si>
    <t>FARAZ AHMED</t>
  </si>
  <si>
    <t>SHAHNAWAZ SHIEKH</t>
  </si>
  <si>
    <t>Albyla</t>
  </si>
  <si>
    <t>SHOKAT ALI</t>
  </si>
  <si>
    <t>AMEER HASSAN</t>
  </si>
  <si>
    <t>GOTHAM</t>
  </si>
  <si>
    <t>NADEEM</t>
  </si>
  <si>
    <t>AAKASH</t>
  </si>
  <si>
    <t>LUCKY</t>
  </si>
  <si>
    <t>UMER</t>
  </si>
  <si>
    <t>SAHIL</t>
  </si>
  <si>
    <t>MUHAMMAD ZAREEN</t>
  </si>
  <si>
    <t>GAFFAR</t>
  </si>
  <si>
    <t>MEEWA</t>
  </si>
  <si>
    <t>NOOR HASSAN</t>
  </si>
  <si>
    <t>GUL HASSAN</t>
  </si>
  <si>
    <t>MUHAMMAD MUSA</t>
  </si>
  <si>
    <t>KASHIF</t>
  </si>
  <si>
    <t>MATHEW</t>
  </si>
  <si>
    <t>SHAN</t>
  </si>
  <si>
    <t>UBAID ULLAH</t>
  </si>
  <si>
    <t>NISAR AHMED</t>
  </si>
  <si>
    <t>ABDUL WAHAB</t>
  </si>
  <si>
    <t>KHADIM HUSSAIN</t>
  </si>
  <si>
    <t>AHMED ALI</t>
  </si>
  <si>
    <t>BAGGA</t>
  </si>
  <si>
    <t>MUHAMMAD TARIQ</t>
  </si>
  <si>
    <t>ADNAN</t>
  </si>
  <si>
    <t>MOIZ</t>
  </si>
  <si>
    <t>NABI BUXH</t>
  </si>
  <si>
    <t>MUHAMMED SOHAIL</t>
  </si>
  <si>
    <t>ASHA LOHANA</t>
  </si>
  <si>
    <t>SHAHBAZ MASI</t>
  </si>
  <si>
    <t>SANJY</t>
  </si>
  <si>
    <t>ABDUL LATIF</t>
  </si>
  <si>
    <t xml:space="preserve">HASAN ALI </t>
  </si>
  <si>
    <t>ABRAR HUSSAIN</t>
  </si>
  <si>
    <t>ROOH UL AMEEN</t>
  </si>
  <si>
    <t>ALIYAN KARIM ANWAR</t>
  </si>
  <si>
    <t>MUHAMMED ALI</t>
  </si>
  <si>
    <t>MUHAMMED JAWAD</t>
  </si>
  <si>
    <t>AMAR</t>
  </si>
  <si>
    <t>MUHAMMAD ISHAQ</t>
  </si>
  <si>
    <t>ZAIN ULLAH</t>
  </si>
  <si>
    <t xml:space="preserve">SHAMSHAD ALI </t>
  </si>
  <si>
    <t>ABRAR AHMED</t>
  </si>
  <si>
    <t>KEFAYAT ALI</t>
  </si>
  <si>
    <t>ABDUL GAFOOR</t>
  </si>
  <si>
    <t>SAKHAWAT</t>
  </si>
  <si>
    <t>MUHAMMED SHAHMEER HUSSAIN</t>
  </si>
  <si>
    <t>MOSES KENNITH</t>
  </si>
  <si>
    <t>MUHAMMED ILYAS</t>
  </si>
  <si>
    <t>DANISH</t>
  </si>
  <si>
    <t>RONAQ</t>
  </si>
  <si>
    <t>RAHUL</t>
  </si>
  <si>
    <t>NASEER AHMED</t>
  </si>
  <si>
    <t>UMER SHEZAD KHAN</t>
  </si>
  <si>
    <t>ABU BAKER</t>
  </si>
  <si>
    <t>ABDUL WALEED</t>
  </si>
  <si>
    <t>WAHEED ALI SHAH</t>
  </si>
  <si>
    <t>TANWEER HUSSAIN</t>
  </si>
  <si>
    <t>BREBDEN</t>
  </si>
  <si>
    <t>FAZAL REHMAN</t>
  </si>
  <si>
    <t>SYED KAMRAN HUSSAIN ZADI</t>
  </si>
  <si>
    <t>MAZAR KHAN</t>
  </si>
  <si>
    <t>bus</t>
  </si>
  <si>
    <t>BUS</t>
  </si>
  <si>
    <t>NO</t>
  </si>
  <si>
    <t>Employee Code</t>
  </si>
  <si>
    <t xml:space="preserve">LAST NAME </t>
  </si>
  <si>
    <t>TRANSPORT</t>
  </si>
  <si>
    <t>DOB</t>
  </si>
  <si>
    <t>CNIC</t>
  </si>
  <si>
    <t>LAST QUALIFIATION</t>
  </si>
  <si>
    <t>PHONE ON</t>
  </si>
  <si>
    <t>KIN PHONE NO</t>
  </si>
  <si>
    <t>ADDRESS</t>
  </si>
  <si>
    <t>GENDER</t>
  </si>
  <si>
    <t>BRANNCH</t>
  </si>
  <si>
    <t>DEPARTMENT</t>
  </si>
  <si>
    <t>DESIGNATION</t>
  </si>
  <si>
    <t>SHIFT</t>
  </si>
  <si>
    <t>DATE OF JOINING</t>
  </si>
  <si>
    <t>GRACE TIME</t>
  </si>
  <si>
    <t>ALLOWED LEAVE</t>
  </si>
  <si>
    <t>LOG IN INFO</t>
  </si>
  <si>
    <t>BASIC SALATY</t>
  </si>
  <si>
    <t>SR NUMBER</t>
  </si>
  <si>
    <t>FIRST NAME</t>
  </si>
  <si>
    <t>SYED</t>
  </si>
  <si>
    <t>M.REHMAN</t>
  </si>
  <si>
    <t>Imran</t>
  </si>
  <si>
    <t>Ali</t>
  </si>
  <si>
    <t>Naveed</t>
  </si>
  <si>
    <t>zafar</t>
  </si>
  <si>
    <t>MUHAMMAD</t>
  </si>
  <si>
    <t>HUSSAIN</t>
  </si>
  <si>
    <t>JAMIL</t>
  </si>
  <si>
    <t>ABDUL</t>
  </si>
  <si>
    <t>AZIZ</t>
  </si>
  <si>
    <t>ZAIB</t>
  </si>
  <si>
    <t>RAHEEM</t>
  </si>
  <si>
    <t>AYAZ</t>
  </si>
  <si>
    <t>Uzair</t>
  </si>
  <si>
    <t>Ahmed</t>
  </si>
  <si>
    <t>Khan</t>
  </si>
  <si>
    <t>Awan</t>
  </si>
  <si>
    <t>MUHAMMED</t>
  </si>
  <si>
    <t>Muhammed</t>
  </si>
  <si>
    <t>kaleem</t>
  </si>
  <si>
    <t>Syed</t>
  </si>
  <si>
    <t>Hussain</t>
  </si>
  <si>
    <t>AQIB</t>
  </si>
  <si>
    <t>KHAN</t>
  </si>
  <si>
    <t>ARBAZ</t>
  </si>
  <si>
    <t>MOHSIN</t>
  </si>
  <si>
    <t>ROMAN</t>
  </si>
  <si>
    <t>RAO</t>
  </si>
  <si>
    <t>NOMAN</t>
  </si>
  <si>
    <t>ALI</t>
  </si>
  <si>
    <t>FAHADD</t>
  </si>
  <si>
    <t>ADMED</t>
  </si>
  <si>
    <t>AMMARA</t>
  </si>
  <si>
    <t>FAROOQ</t>
  </si>
  <si>
    <t>AHMED</t>
  </si>
  <si>
    <t>M.</t>
  </si>
  <si>
    <t>SHAFIQ</t>
  </si>
  <si>
    <t>HAMMAD</t>
  </si>
  <si>
    <t>HAZRAT</t>
  </si>
  <si>
    <t>YASEEN</t>
  </si>
  <si>
    <t>MOHIB</t>
  </si>
  <si>
    <t>ASAD</t>
  </si>
  <si>
    <t>SHAKIR</t>
  </si>
  <si>
    <t>ULLAH</t>
  </si>
  <si>
    <t>SAIF</t>
  </si>
  <si>
    <t>ISLAM</t>
  </si>
  <si>
    <t>AMJAD</t>
  </si>
  <si>
    <t>SHAHZAD</t>
  </si>
  <si>
    <t>Abdul</t>
  </si>
  <si>
    <t>Rehman</t>
  </si>
  <si>
    <t>SAMEER</t>
  </si>
  <si>
    <t>FAHAD</t>
  </si>
  <si>
    <t>RAUF</t>
  </si>
  <si>
    <t>AKBAR</t>
  </si>
  <si>
    <t>HAIDER</t>
  </si>
  <si>
    <t>SAAD</t>
  </si>
  <si>
    <t>ELAHI</t>
  </si>
  <si>
    <t>FAHEEM</t>
  </si>
  <si>
    <t>RAJ</t>
  </si>
  <si>
    <t>AKHTAR</t>
  </si>
  <si>
    <t>MESUM</t>
  </si>
  <si>
    <t>ABBAS</t>
  </si>
  <si>
    <t>HASEEB</t>
  </si>
  <si>
    <t>ARSAD</t>
  </si>
  <si>
    <t>AJAR</t>
  </si>
  <si>
    <t>AMAN</t>
  </si>
  <si>
    <t>JAMEEL</t>
  </si>
  <si>
    <t>HAMD</t>
  </si>
  <si>
    <t>WAJAHAT</t>
  </si>
  <si>
    <t>ASHRAF</t>
  </si>
  <si>
    <t>Anwar</t>
  </si>
  <si>
    <t>ANSAR</t>
  </si>
  <si>
    <t>ALAM</t>
  </si>
  <si>
    <t>BAIG</t>
  </si>
  <si>
    <t>Raheem</t>
  </si>
  <si>
    <t>Ullah</t>
  </si>
  <si>
    <t>FARIYA</t>
  </si>
  <si>
    <t>REHMAN</t>
  </si>
  <si>
    <t>OWAIS</t>
  </si>
  <si>
    <t>RASHEED</t>
  </si>
  <si>
    <t>FARAZ</t>
  </si>
  <si>
    <t>MURTAZA</t>
  </si>
  <si>
    <t>Shazaib</t>
  </si>
  <si>
    <t>Zubair</t>
  </si>
  <si>
    <t>Muhammad</t>
  </si>
  <si>
    <t>Sameer</t>
  </si>
  <si>
    <t>TASMINA</t>
  </si>
  <si>
    <t>KANWAL</t>
  </si>
  <si>
    <t>GUL</t>
  </si>
  <si>
    <t>AZAM</t>
  </si>
  <si>
    <t>AZAD</t>
  </si>
  <si>
    <t>MUEEZ</t>
  </si>
  <si>
    <t>AHMAD</t>
  </si>
  <si>
    <t>SHAH</t>
  </si>
  <si>
    <t>AYESHA</t>
  </si>
  <si>
    <t>SIDDIQUI</t>
  </si>
  <si>
    <t>NAVEED</t>
  </si>
  <si>
    <t>MUNEER</t>
  </si>
  <si>
    <t>HASAN</t>
  </si>
  <si>
    <t>RAZA</t>
  </si>
  <si>
    <t>NABISHA</t>
  </si>
  <si>
    <t>QASIM</t>
  </si>
  <si>
    <t>Ehtisham</t>
  </si>
  <si>
    <t>ISMAIL</t>
  </si>
  <si>
    <t>SADAQAT</t>
  </si>
  <si>
    <t>SADIQ</t>
  </si>
  <si>
    <t>QASIR</t>
  </si>
  <si>
    <t>HALEEM</t>
  </si>
  <si>
    <t>SAHARAT</t>
  </si>
  <si>
    <t>SHARAFAT</t>
  </si>
  <si>
    <t>MAQSOOD</t>
  </si>
  <si>
    <t>SAMAD</t>
  </si>
  <si>
    <t>SAID</t>
  </si>
  <si>
    <t>AKBER</t>
  </si>
  <si>
    <t>UDDIN</t>
  </si>
  <si>
    <t>SHAFI</t>
  </si>
  <si>
    <t>WAHEED</t>
  </si>
  <si>
    <t>Waseem</t>
  </si>
  <si>
    <t>ahmad</t>
  </si>
  <si>
    <t>SHER</t>
  </si>
  <si>
    <t>WADOOD</t>
  </si>
  <si>
    <t>Ejaz</t>
  </si>
  <si>
    <t>Indrias</t>
  </si>
  <si>
    <t>ZAREEN</t>
  </si>
  <si>
    <t>KARIM</t>
  </si>
  <si>
    <t>RANA</t>
  </si>
  <si>
    <t>ZAFAR</t>
  </si>
  <si>
    <t>WAQAR</t>
  </si>
  <si>
    <t>QASIN</t>
  </si>
  <si>
    <t>NAJAM</t>
  </si>
  <si>
    <t>GAINJO</t>
  </si>
  <si>
    <t>GULL</t>
  </si>
  <si>
    <t>MAZAHIR</t>
  </si>
  <si>
    <t>REHMAT</t>
  </si>
  <si>
    <t>TALHA</t>
  </si>
  <si>
    <t>WAHID</t>
  </si>
  <si>
    <t>SHAHID</t>
  </si>
  <si>
    <t>Jibran</t>
  </si>
  <si>
    <t>BASHARAT</t>
  </si>
  <si>
    <t>MUNTAZIR</t>
  </si>
  <si>
    <t>MEHDI</t>
  </si>
  <si>
    <t>TANOLI</t>
  </si>
  <si>
    <t>UMAIR</t>
  </si>
  <si>
    <t>IQBAL</t>
  </si>
  <si>
    <t>Maryum</t>
  </si>
  <si>
    <t>NAZIR</t>
  </si>
  <si>
    <t>DAWOOD</t>
  </si>
  <si>
    <t>BLOCH</t>
  </si>
  <si>
    <t>ABBASI</t>
  </si>
  <si>
    <t>AHAD</t>
  </si>
  <si>
    <t>GULSHAN</t>
  </si>
  <si>
    <t>ISHTIAQUE</t>
  </si>
  <si>
    <t>NOOR</t>
  </si>
  <si>
    <t>SHAREEF</t>
  </si>
  <si>
    <t>ARHAMA</t>
  </si>
  <si>
    <t>KHIZAR</t>
  </si>
  <si>
    <t>AWAN</t>
  </si>
  <si>
    <t>NABEEL</t>
  </si>
  <si>
    <t>HAMZA</t>
  </si>
  <si>
    <t>TAHIR</t>
  </si>
  <si>
    <t>SAEED</t>
  </si>
  <si>
    <t>RIZWAN</t>
  </si>
  <si>
    <t>SHUJAD</t>
  </si>
  <si>
    <t>RIYAZ</t>
  </si>
  <si>
    <t>Muzammil</t>
  </si>
  <si>
    <t>Niaz</t>
  </si>
  <si>
    <t>NISAR</t>
  </si>
  <si>
    <t>ADIL</t>
  </si>
  <si>
    <t>SABEEN</t>
  </si>
  <si>
    <t>RAFI</t>
  </si>
  <si>
    <t>MUHEEM</t>
  </si>
  <si>
    <t>NABI</t>
  </si>
  <si>
    <t>BAKSH</t>
  </si>
  <si>
    <t>FAREED</t>
  </si>
  <si>
    <t>RAFIQ</t>
  </si>
  <si>
    <t>MUBASHIR</t>
  </si>
  <si>
    <t>YAHYA</t>
  </si>
  <si>
    <t>JAHANGIR</t>
  </si>
  <si>
    <t>MEMROZ</t>
  </si>
  <si>
    <t>SHOAIB</t>
  </si>
  <si>
    <t>AHRAR</t>
  </si>
  <si>
    <t>RAJPOT</t>
  </si>
  <si>
    <t>SHEERAZ</t>
  </si>
  <si>
    <t>ZULFIQAR</t>
  </si>
  <si>
    <t>HAFEEZ</t>
  </si>
  <si>
    <t>KAMAL</t>
  </si>
  <si>
    <t>SABEEH</t>
  </si>
  <si>
    <t>Zeeshan</t>
  </si>
  <si>
    <t>MANSOOR</t>
  </si>
  <si>
    <t>FEROZ</t>
  </si>
  <si>
    <t>SHERBAZ</t>
  </si>
  <si>
    <t>SHEHRYAR</t>
  </si>
  <si>
    <t>REHAN</t>
  </si>
  <si>
    <t>SIKANDER</t>
  </si>
  <si>
    <t>WAHAB</t>
  </si>
  <si>
    <t>NASEER</t>
  </si>
  <si>
    <t>Wasif</t>
  </si>
  <si>
    <t>ASHIQ</t>
  </si>
  <si>
    <t>Fayaz</t>
  </si>
  <si>
    <t>SHAKEEL</t>
  </si>
  <si>
    <t>ARIF</t>
  </si>
  <si>
    <t>Hafiz</t>
  </si>
  <si>
    <t>ATTA</t>
  </si>
  <si>
    <t>Irfan</t>
  </si>
  <si>
    <t>SAQIB</t>
  </si>
  <si>
    <t>WAJIHUD</t>
  </si>
  <si>
    <t>DIN</t>
  </si>
  <si>
    <t>IMAM</t>
  </si>
  <si>
    <t>NAZAKAT</t>
  </si>
  <si>
    <t>MAZHAR</t>
  </si>
  <si>
    <t>ABIL</t>
  </si>
  <si>
    <t>ISSA</t>
  </si>
  <si>
    <t>MASOOD</t>
  </si>
  <si>
    <t>SHEIKH</t>
  </si>
  <si>
    <t>Ikram</t>
  </si>
  <si>
    <t>udin</t>
  </si>
  <si>
    <t>FIDA</t>
  </si>
  <si>
    <t>MUJEEEB</t>
  </si>
  <si>
    <t>MUJEEB</t>
  </si>
  <si>
    <t>HAJI</t>
  </si>
  <si>
    <t>ASGAR</t>
  </si>
  <si>
    <t>KHALID</t>
  </si>
  <si>
    <t>Nizam</t>
  </si>
  <si>
    <t>Uddin</t>
  </si>
  <si>
    <t>Adnan</t>
  </si>
  <si>
    <t>Zafar</t>
  </si>
  <si>
    <t>Shaabbaz</t>
  </si>
  <si>
    <t>MEHFOOZ</t>
  </si>
  <si>
    <t>IDREES</t>
  </si>
  <si>
    <t>SHUJA</t>
  </si>
  <si>
    <t>IRHAM</t>
  </si>
  <si>
    <t>ISHFAQ</t>
  </si>
  <si>
    <t>ALTAF</t>
  </si>
  <si>
    <t>MUFAD</t>
  </si>
  <si>
    <t>SAJID</t>
  </si>
  <si>
    <t>DARVAISH</t>
  </si>
  <si>
    <t>IMDAD</t>
  </si>
  <si>
    <t>ANWAR</t>
  </si>
  <si>
    <t>RAZIQ</t>
  </si>
  <si>
    <t>ISRAR</t>
  </si>
  <si>
    <t>NIAZ</t>
  </si>
  <si>
    <t>ZUBAIR</t>
  </si>
  <si>
    <t>SADDAM</t>
  </si>
  <si>
    <t>IBRAR</t>
  </si>
  <si>
    <t>FAISAL</t>
  </si>
  <si>
    <t>YOUNUS</t>
  </si>
  <si>
    <t>Zulfiqar</t>
  </si>
  <si>
    <t>ATAHR</t>
  </si>
  <si>
    <t>MEHTAB</t>
  </si>
  <si>
    <t>SAMI</t>
  </si>
  <si>
    <t>GHANI</t>
  </si>
  <si>
    <t>SUHAN</t>
  </si>
  <si>
    <t>SALLAH</t>
  </si>
  <si>
    <t>UDEEN</t>
  </si>
  <si>
    <t>RIAZ</t>
  </si>
  <si>
    <t>HASNAIN</t>
  </si>
  <si>
    <t>ZAHEEN</t>
  </si>
  <si>
    <t>BASHEER</t>
  </si>
  <si>
    <t>SAWAL</t>
  </si>
  <si>
    <t>FAQEER</t>
  </si>
  <si>
    <t>AJAB</t>
  </si>
  <si>
    <t>GHAYAZ</t>
  </si>
  <si>
    <t>SHIFA</t>
  </si>
  <si>
    <t>JAMAL</t>
  </si>
  <si>
    <t>FARMAN</t>
  </si>
  <si>
    <t>NAWAZ</t>
  </si>
  <si>
    <t>IKRAM</t>
  </si>
  <si>
    <t>ABUZAR</t>
  </si>
  <si>
    <t>Amir</t>
  </si>
  <si>
    <t>GHULAM</t>
  </si>
  <si>
    <t>Rauf</t>
  </si>
  <si>
    <t>NAIMAT</t>
  </si>
  <si>
    <t>ALLAH</t>
  </si>
  <si>
    <t>ABID</t>
  </si>
  <si>
    <t>MIR</t>
  </si>
  <si>
    <t>ZAMAN</t>
  </si>
  <si>
    <t>Mubarak</t>
  </si>
  <si>
    <t>SULATAN</t>
  </si>
  <si>
    <t>GAYAZ</t>
  </si>
  <si>
    <t>YOUSUF</t>
  </si>
  <si>
    <t>ZAID</t>
  </si>
  <si>
    <t>ANEES</t>
  </si>
  <si>
    <t>EJAZ</t>
  </si>
  <si>
    <t>NAZEER</t>
  </si>
  <si>
    <t>AZMAT</t>
  </si>
  <si>
    <t>EZIZ</t>
  </si>
  <si>
    <t>NIZAM</t>
  </si>
  <si>
    <t>HANEEF</t>
  </si>
  <si>
    <t>HARIS</t>
  </si>
  <si>
    <t>KHLID</t>
  </si>
  <si>
    <t>NASIR</t>
  </si>
  <si>
    <t>ABDULAZIZ</t>
  </si>
  <si>
    <t>FAHEEMALI</t>
  </si>
  <si>
    <t>anwerAli</t>
  </si>
  <si>
    <t>AYAZULHAQ</t>
  </si>
  <si>
    <t>AhmedKhan</t>
  </si>
  <si>
    <t>SafdarHussain</t>
  </si>
  <si>
    <t/>
  </si>
  <si>
    <t>NOMANALI</t>
  </si>
  <si>
    <t>ADMEDMOGHAL</t>
  </si>
  <si>
    <t>ULHAQ</t>
  </si>
  <si>
    <t>ULISLAM</t>
  </si>
  <si>
    <t>MESUMABBAS</t>
  </si>
  <si>
    <t>AliGuhar</t>
  </si>
  <si>
    <t>IbraheemShafi</t>
  </si>
  <si>
    <t>ROHSHANAMAN</t>
  </si>
  <si>
    <t>AMIRKHAN</t>
  </si>
  <si>
    <t>URREHMAN</t>
  </si>
  <si>
    <t>ALIBHUTTO</t>
  </si>
  <si>
    <t>AHMEDSINDHI</t>
  </si>
  <si>
    <t>FARHANAHMED</t>
  </si>
  <si>
    <t>ZAREENFLOOR</t>
  </si>
  <si>
    <t>RAHAtALI</t>
  </si>
  <si>
    <t>ShoukatAli</t>
  </si>
  <si>
    <t>AFNANRAZA</t>
  </si>
  <si>
    <t>OWAISAWAN</t>
  </si>
  <si>
    <t>ULLAHKHAN</t>
  </si>
  <si>
    <t>FATIMAKHAN</t>
  </si>
  <si>
    <t>RAUFHASHMI</t>
  </si>
  <si>
    <t>ALIKHAN</t>
  </si>
  <si>
    <t>OWAISALI</t>
  </si>
  <si>
    <t>AMIRLHAN</t>
  </si>
  <si>
    <t>ISMAILYASEEN</t>
  </si>
  <si>
    <t>ADILKHAN</t>
  </si>
  <si>
    <t>MuhammadUmar</t>
  </si>
  <si>
    <t>MUHAMMEDTAYAB</t>
  </si>
  <si>
    <t>SHAMIMALAM</t>
  </si>
  <si>
    <t>ULHASSAN</t>
  </si>
  <si>
    <t>HAIDERSHAH</t>
  </si>
  <si>
    <t>FAIZANKHAN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</si>
</sst>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7"/>
      <color rgb="FFFF0000"/>
      <name val="Calibri"/>
    </font>
    <font>
      <b/>
      <sz val="10"/>
      <color rgb="FFFF0000"/>
      <name val="Calibri"/>
    </font>
    <font>
      <b/>
      <sz val="15"/>
      <color theme="1"/>
      <name val="Calibri"/>
    </font>
    <font>
      <sz val="11"/>
      <color theme="1"/>
      <name val="Calibri"/>
    </font>
    <font>
      <sz val="16"/>
      <color rgb="FF000000"/>
      <name val="Calibri"/>
    </font>
    <font>
      <sz val="15"/>
      <color theme="1"/>
      <name val="Calibri"/>
    </font>
    <font>
      <sz val="11"/>
      <color theme="1"/>
      <name val="Calibri"/>
      <scheme val="minor"/>
    </font>
    <font>
      <sz val="10"/>
      <color rgb="FFFF0000"/>
      <name val="Calibri"/>
    </font>
    <font>
      <b/>
      <sz val="19"/>
      <color theme="1"/>
      <name val="Calibri"/>
    </font>
    <font>
      <sz val="10"/>
      <color rgb="FF333333"/>
      <name val="Quattrocento Sans"/>
    </font>
    <font>
      <b/>
      <sz val="21"/>
      <color theme="1"/>
      <name val="Calibri"/>
    </font>
    <font>
      <sz val="14"/>
      <name val="Calibri"/>
      <family val="2"/>
    </font>
    <font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92D050"/>
        <bgColor rgb="FF92D050"/>
      </patternFill>
    </fill>
    <fill>
      <patternFill patternType="solid">
        <fgColor rgb="FFFF33CC"/>
        <bgColor rgb="FFFF33CC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EE80F8"/>
        <bgColor rgb="FFEE80F8"/>
      </patternFill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0" fontId="6" fillId="7" borderId="1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shrinkToFit="1"/>
    </xf>
    <xf numFmtId="0" fontId="8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shrinkToFit="1"/>
    </xf>
    <xf numFmtId="0" fontId="3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shrinkToFit="1"/>
    </xf>
    <xf numFmtId="14" fontId="12" fillId="0" borderId="1" xfId="0" applyNumberFormat="1" applyFont="1" applyBorder="1" applyAlignment="1">
      <alignment horizontal="center"/>
    </xf>
    <xf numFmtId="164" fontId="3" fillId="9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shrinkToFit="1"/>
    </xf>
    <xf numFmtId="3" fontId="3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1" fontId="0" fillId="0" borderId="0" xfId="0" applyNumberFormat="1"/>
    <xf numFmtId="0" fontId="15" fillId="12" borderId="0" xfId="0" applyFont="1" applyFill="1" applyAlignment="1">
      <alignment wrapText="1"/>
    </xf>
    <xf numFmtId="1" fontId="0" fillId="12" borderId="0" xfId="0" applyNumberFormat="1" applyFill="1"/>
    <xf numFmtId="0" fontId="15" fillId="12" borderId="0" xfId="0" applyFont="1" applyFill="1"/>
    <xf numFmtId="0" fontId="15" fillId="13" borderId="0" xfId="0" applyFont="1" applyFill="1"/>
    <xf numFmtId="0" fontId="0" fillId="13" borderId="0" xfId="0" applyFill="1"/>
    <xf numFmtId="0" fontId="15" fillId="13" borderId="0" xfId="0" applyFont="1" applyFill="1" applyAlignment="1">
      <alignment wrapText="1"/>
    </xf>
    <xf numFmtId="1" fontId="0" fillId="13" borderId="0" xfId="0" applyNumberFormat="1" applyFill="1"/>
    <xf numFmtId="0" fontId="16" fillId="0" borderId="1" xfId="0" applyFont="1" applyBorder="1" applyAlignment="1">
      <alignment horizontal="center" shrinkToFit="1"/>
    </xf>
  </cellXfs>
  <cellStyles count="1">
    <cellStyle name="Normal" xfId="0" builtinId="0"/>
  </cellStyles>
  <dxfs count="1"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142ED-5B94-467B-A129-98C986881FCF}">
  <sheetPr filterMode="1"/>
  <dimension ref="A2:T584"/>
  <sheetViews>
    <sheetView topLeftCell="A2" workbookViewId="0">
      <pane xSplit="5" ySplit="1" topLeftCell="I4" activePane="bottomRight" state="frozen"/>
      <selection activeCell="A2" sqref="A2"/>
      <selection pane="topRight" activeCell="F2" sqref="F2"/>
      <selection pane="bottomLeft" activeCell="A3" sqref="A3"/>
      <selection pane="bottomRight" activeCell="C2" sqref="C2:P2"/>
    </sheetView>
  </sheetViews>
  <sheetFormatPr defaultRowHeight="14.4" x14ac:dyDescent="0.3"/>
  <cols>
    <col min="1" max="1" width="7.77734375" customWidth="1"/>
    <col min="2" max="2" width="6" customWidth="1"/>
    <col min="3" max="3" width="11.6640625" customWidth="1"/>
    <col min="4" max="4" width="13" customWidth="1"/>
    <col min="5" max="5" width="31" bestFit="1" customWidth="1"/>
    <col min="6" max="8" width="13" customWidth="1"/>
    <col min="9" max="9" width="7.77734375" customWidth="1"/>
    <col min="10" max="10" width="10.88671875" customWidth="1"/>
    <col min="11" max="11" width="19.33203125" bestFit="1" customWidth="1"/>
    <col min="12" max="12" width="19.33203125" customWidth="1"/>
    <col min="13" max="13" width="10.5546875" bestFit="1" customWidth="1"/>
    <col min="14" max="15" width="23.5546875" bestFit="1" customWidth="1"/>
    <col min="16" max="17" width="16.88671875" customWidth="1"/>
    <col min="18" max="18" width="23.44140625" customWidth="1"/>
    <col min="19" max="20" width="52" customWidth="1"/>
  </cols>
  <sheetData>
    <row r="2" spans="1:20" s="53" customFormat="1" ht="72" x14ac:dyDescent="0.35">
      <c r="A2" s="53" t="s">
        <v>703</v>
      </c>
      <c r="B2" s="53" t="s">
        <v>704</v>
      </c>
      <c r="C2" s="53" t="s">
        <v>705</v>
      </c>
      <c r="D2" s="53" t="s">
        <v>706</v>
      </c>
      <c r="E2" s="53" t="s">
        <v>707</v>
      </c>
      <c r="F2" s="53" t="s">
        <v>708</v>
      </c>
      <c r="G2" s="54" t="s">
        <v>709</v>
      </c>
      <c r="H2" s="53" t="s">
        <v>1815</v>
      </c>
      <c r="I2" s="58" t="s">
        <v>710</v>
      </c>
      <c r="J2" s="56" t="s">
        <v>711</v>
      </c>
      <c r="K2" s="59" t="s">
        <v>712</v>
      </c>
      <c r="L2" s="60" t="s">
        <v>1651</v>
      </c>
      <c r="M2" s="53" t="s">
        <v>713</v>
      </c>
      <c r="N2" s="59" t="s">
        <v>2</v>
      </c>
      <c r="O2" s="61" t="s">
        <v>1652</v>
      </c>
      <c r="P2" s="53" t="s">
        <v>714</v>
      </c>
      <c r="Q2" s="53" t="s">
        <v>715</v>
      </c>
      <c r="R2" s="53" t="s">
        <v>716</v>
      </c>
      <c r="S2" s="53" t="s">
        <v>717</v>
      </c>
      <c r="T2" s="53" t="s">
        <v>718</v>
      </c>
    </row>
    <row r="3" spans="1:20" hidden="1" x14ac:dyDescent="0.3">
      <c r="B3" s="55">
        <v>1</v>
      </c>
      <c r="C3" s="55">
        <v>1002</v>
      </c>
      <c r="D3" t="s">
        <v>719</v>
      </c>
      <c r="E3" t="s">
        <v>136</v>
      </c>
      <c r="F3" t="s">
        <v>720</v>
      </c>
      <c r="G3" s="55">
        <v>75</v>
      </c>
      <c r="H3" s="55" t="s">
        <v>1817</v>
      </c>
      <c r="I3" s="55">
        <v>23000</v>
      </c>
      <c r="J3" s="57" t="e">
        <f>VLOOKUP(C3,'SALARY DETALES'!$B$2:$S$475,18,0)</f>
        <v>#N/A</v>
      </c>
      <c r="K3" t="s">
        <v>368</v>
      </c>
      <c r="L3" s="60" t="e">
        <f>VLOOKUP(C3,'SALARY DETALES'!B2:C475,2,0)</f>
        <v>#N/A</v>
      </c>
      <c r="M3" t="s">
        <v>721</v>
      </c>
      <c r="N3" t="s">
        <v>722</v>
      </c>
      <c r="O3" s="62" t="e">
        <f>VLOOKUP(C3,'SALARY DETALES'!$B$2:$D$475,3,0)</f>
        <v>#N/A</v>
      </c>
    </row>
    <row r="4" spans="1:20" x14ac:dyDescent="0.3">
      <c r="B4" s="55">
        <v>2</v>
      </c>
      <c r="C4" s="55">
        <v>1006</v>
      </c>
      <c r="D4" t="s">
        <v>719</v>
      </c>
      <c r="E4" t="s">
        <v>1653</v>
      </c>
      <c r="F4" t="s">
        <v>724</v>
      </c>
      <c r="G4" s="55">
        <v>0</v>
      </c>
      <c r="H4" s="55" t="s">
        <v>1816</v>
      </c>
      <c r="I4" s="55">
        <v>18000</v>
      </c>
      <c r="J4" s="57">
        <f>VLOOKUP(C4,'SALARY DETALES'!$B$2:$S$475,18,0)</f>
        <v>27500</v>
      </c>
      <c r="K4" t="s">
        <v>685</v>
      </c>
      <c r="L4" s="60" t="str">
        <f>VLOOKUP(C4,'SALARY DETALES'!B3:C476,2,0)</f>
        <v>Tandoor Pickup</v>
      </c>
      <c r="M4" t="s">
        <v>721</v>
      </c>
      <c r="N4" t="s">
        <v>454</v>
      </c>
      <c r="O4" s="62" t="str">
        <f>VLOOKUP(C4,'SALARY DETALES'!$B$2:$D$475,3,0)</f>
        <v>ORDER PICKUP</v>
      </c>
    </row>
    <row r="5" spans="1:20" x14ac:dyDescent="0.3">
      <c r="B5" s="55">
        <v>3</v>
      </c>
      <c r="C5" s="55">
        <v>1011</v>
      </c>
      <c r="D5" t="s">
        <v>719</v>
      </c>
      <c r="E5" t="s">
        <v>1654</v>
      </c>
      <c r="F5" t="s">
        <v>725</v>
      </c>
      <c r="G5" s="55">
        <v>45</v>
      </c>
      <c r="H5" s="55" t="s">
        <v>1817</v>
      </c>
      <c r="I5" s="55">
        <v>15000</v>
      </c>
      <c r="J5" s="57">
        <f>VLOOKUP(C5,'SALARY DETALES'!$B$2:$S$475,18,0)</f>
        <v>21780</v>
      </c>
      <c r="K5" t="s">
        <v>685</v>
      </c>
      <c r="L5" s="60" t="str">
        <f>VLOOKUP(C5,'SALARY DETALES'!B4:C477,2,0)</f>
        <v>Tandoor Pickup</v>
      </c>
      <c r="M5" t="s">
        <v>721</v>
      </c>
      <c r="N5" t="s">
        <v>454</v>
      </c>
      <c r="O5" s="62" t="str">
        <f>VLOOKUP(C5,'SALARY DETALES'!$B$2:$D$475,3,0)</f>
        <v>ORDER PICKUP</v>
      </c>
    </row>
    <row r="6" spans="1:20" x14ac:dyDescent="0.3">
      <c r="B6" s="55">
        <v>4</v>
      </c>
      <c r="C6" s="55">
        <v>1013</v>
      </c>
      <c r="D6" t="s">
        <v>719</v>
      </c>
      <c r="E6" t="s">
        <v>1655</v>
      </c>
      <c r="F6" t="s">
        <v>726</v>
      </c>
      <c r="G6" s="55">
        <v>45</v>
      </c>
      <c r="H6" s="55" t="s">
        <v>1817</v>
      </c>
      <c r="I6" s="55">
        <v>28000</v>
      </c>
      <c r="J6" s="57">
        <f>VLOOKUP(C6,'SALARY DETALES'!$B$2:$S$475,18,0)</f>
        <v>36300</v>
      </c>
      <c r="K6" t="s">
        <v>685</v>
      </c>
      <c r="L6" s="60" t="str">
        <f>VLOOKUP(C6,'SALARY DETALES'!B5:C478,2,0)</f>
        <v>Tandoor Pickup</v>
      </c>
      <c r="M6" t="s">
        <v>721</v>
      </c>
      <c r="N6" t="s">
        <v>454</v>
      </c>
      <c r="O6" s="62" t="str">
        <f>VLOOKUP(C6,'SALARY DETALES'!$B$2:$D$475,3,0)</f>
        <v>ORDER PICKUP</v>
      </c>
      <c r="P6" t="s">
        <v>727</v>
      </c>
    </row>
    <row r="7" spans="1:20" x14ac:dyDescent="0.3">
      <c r="B7" s="55">
        <v>5</v>
      </c>
      <c r="C7" s="55">
        <v>1014</v>
      </c>
      <c r="D7" t="s">
        <v>719</v>
      </c>
      <c r="E7" t="s">
        <v>1656</v>
      </c>
      <c r="F7" t="s">
        <v>728</v>
      </c>
      <c r="G7" s="55">
        <v>45</v>
      </c>
      <c r="H7" s="55" t="s">
        <v>1817</v>
      </c>
      <c r="I7" s="55">
        <v>45000</v>
      </c>
      <c r="J7" s="57">
        <f>VLOOKUP(C7,'SALARY DETALES'!$B$2:$S$475,18,0)</f>
        <v>66000</v>
      </c>
      <c r="K7" t="s">
        <v>80</v>
      </c>
      <c r="L7" s="60" t="str">
        <f>VLOOKUP(C7,'SALARY DETALES'!B6:C479,2,0)</f>
        <v>Assembler</v>
      </c>
      <c r="M7" t="s">
        <v>721</v>
      </c>
      <c r="N7" t="s">
        <v>81</v>
      </c>
      <c r="O7" s="62" t="str">
        <f>VLOOKUP(C7,'SALARY DETALES'!$B$2:$D$475,3,0)</f>
        <v>Assembler Incharge</v>
      </c>
      <c r="T7" t="s">
        <v>729</v>
      </c>
    </row>
    <row r="8" spans="1:20" x14ac:dyDescent="0.3">
      <c r="B8" s="55">
        <v>6</v>
      </c>
      <c r="C8" s="55">
        <v>4002</v>
      </c>
      <c r="D8" t="s">
        <v>719</v>
      </c>
      <c r="E8" t="s">
        <v>1657</v>
      </c>
      <c r="F8" t="s">
        <v>731</v>
      </c>
      <c r="G8" s="55">
        <v>0</v>
      </c>
      <c r="H8" s="55" t="s">
        <v>1817</v>
      </c>
      <c r="I8" s="55">
        <v>40000</v>
      </c>
      <c r="J8" s="57">
        <f>VLOOKUP(C8,'SALARY DETALES'!$B$2:$S$475,18,0)</f>
        <v>49500</v>
      </c>
      <c r="K8" t="s">
        <v>135</v>
      </c>
      <c r="L8" s="60" t="str">
        <f>VLOOKUP(C8,'SALARY DETALES'!B7:C480,2,0)</f>
        <v>BUTCHER</v>
      </c>
      <c r="M8" t="s">
        <v>721</v>
      </c>
      <c r="N8" t="s">
        <v>135</v>
      </c>
      <c r="O8" s="62" t="str">
        <f>VLOOKUP(C8,'SALARY DETALES'!$B$2:$D$475,3,0)</f>
        <v>BUTCHER</v>
      </c>
      <c r="T8" t="s">
        <v>732</v>
      </c>
    </row>
    <row r="9" spans="1:20" x14ac:dyDescent="0.3">
      <c r="B9" s="55">
        <v>7</v>
      </c>
      <c r="C9" s="55">
        <v>7003</v>
      </c>
      <c r="D9" t="s">
        <v>719</v>
      </c>
      <c r="E9" t="s">
        <v>1658</v>
      </c>
      <c r="F9" t="s">
        <v>731</v>
      </c>
      <c r="G9" s="55">
        <v>0</v>
      </c>
      <c r="H9" s="55" t="s">
        <v>1816</v>
      </c>
      <c r="I9" s="55">
        <v>32000</v>
      </c>
      <c r="J9" s="57">
        <f>VLOOKUP(C9,'SALARY DETALES'!$B$2:$S$475,18,0)</f>
        <v>38500</v>
      </c>
      <c r="K9" t="s">
        <v>667</v>
      </c>
      <c r="L9" s="60" t="str">
        <f>VLOOKUP(C9,'SALARY DETALES'!B8:C481,2,0)</f>
        <v>Tandoor</v>
      </c>
      <c r="M9" t="s">
        <v>721</v>
      </c>
      <c r="N9" t="s">
        <v>733</v>
      </c>
      <c r="O9" s="62" t="str">
        <f>VLOOKUP(C9,'SALARY DETALES'!$B$2:$D$475,3,0)</f>
        <v>CHAPATI</v>
      </c>
    </row>
    <row r="10" spans="1:20" hidden="1" x14ac:dyDescent="0.3">
      <c r="B10" s="55">
        <v>8</v>
      </c>
      <c r="C10" s="55">
        <v>8007</v>
      </c>
      <c r="D10" t="s">
        <v>719</v>
      </c>
      <c r="E10" t="s">
        <v>1659</v>
      </c>
      <c r="F10" t="s">
        <v>734</v>
      </c>
      <c r="G10" s="55">
        <v>0</v>
      </c>
      <c r="H10" s="55" t="s">
        <v>1816</v>
      </c>
      <c r="I10" s="55">
        <v>88000</v>
      </c>
      <c r="J10" s="57" t="e">
        <f>VLOOKUP(C10,'SALARY DETALES'!$B$2:$S$475,18,0)</f>
        <v>#N/A</v>
      </c>
      <c r="K10" t="s">
        <v>159</v>
      </c>
      <c r="L10" s="60" t="e">
        <f>VLOOKUP(C10,'SALARY DETALES'!B9:C482,2,0)</f>
        <v>#N/A</v>
      </c>
      <c r="M10" t="s">
        <v>721</v>
      </c>
      <c r="N10" t="s">
        <v>735</v>
      </c>
      <c r="O10" s="62" t="e">
        <f>VLOOKUP(C10,'SALARY DETALES'!$B$2:$D$475,3,0)</f>
        <v>#N/A</v>
      </c>
      <c r="P10" t="s">
        <v>736</v>
      </c>
      <c r="Q10" s="55">
        <v>3152623603</v>
      </c>
      <c r="R10" s="55">
        <v>3422219007</v>
      </c>
      <c r="S10" t="s">
        <v>737</v>
      </c>
    </row>
    <row r="11" spans="1:20" x14ac:dyDescent="0.3">
      <c r="B11" s="55">
        <v>9</v>
      </c>
      <c r="C11" s="55">
        <v>12002</v>
      </c>
      <c r="D11" t="s">
        <v>719</v>
      </c>
      <c r="E11" t="s">
        <v>1660</v>
      </c>
      <c r="F11" t="s">
        <v>738</v>
      </c>
      <c r="G11" s="55">
        <v>0</v>
      </c>
      <c r="H11" s="55" t="s">
        <v>1816</v>
      </c>
      <c r="I11" s="55">
        <v>20000</v>
      </c>
      <c r="J11" s="57">
        <f>VLOOKUP(C11,'SALARY DETALES'!$B$2:$S$475,18,0)</f>
        <v>25000</v>
      </c>
      <c r="K11" t="s">
        <v>260</v>
      </c>
      <c r="L11" s="60" t="str">
        <f>VLOOKUP(C11,'SALARY DETALES'!B10:C483,2,0)</f>
        <v>Floor Wipping</v>
      </c>
      <c r="M11" t="s">
        <v>721</v>
      </c>
      <c r="N11" t="s">
        <v>263</v>
      </c>
      <c r="O11" s="62" t="str">
        <f>VLOOKUP(C11,'SALARY DETALES'!$B$2:$D$475,3,0)</f>
        <v>Floor Wipping Incharge</v>
      </c>
    </row>
    <row r="12" spans="1:20" x14ac:dyDescent="0.3">
      <c r="B12" s="55">
        <v>10</v>
      </c>
      <c r="C12" s="55">
        <v>16004</v>
      </c>
      <c r="D12" t="s">
        <v>719</v>
      </c>
      <c r="E12" t="s">
        <v>1661</v>
      </c>
      <c r="F12" t="s">
        <v>739</v>
      </c>
      <c r="G12" s="55">
        <v>0</v>
      </c>
      <c r="H12" s="55" t="s">
        <v>1816</v>
      </c>
      <c r="I12" s="55">
        <v>100000</v>
      </c>
      <c r="J12" s="57">
        <f>VLOOKUP(C12,'SALARY DETALES'!$B$2:$S$475,18,0)</f>
        <v>120000</v>
      </c>
      <c r="K12" t="s">
        <v>332</v>
      </c>
      <c r="L12" s="60" t="str">
        <f>VLOOKUP(C12,'SALARY DETALES'!B11:C484,2,0)</f>
        <v>Karahi</v>
      </c>
      <c r="M12" t="s">
        <v>721</v>
      </c>
      <c r="N12" t="s">
        <v>333</v>
      </c>
      <c r="O12" s="62" t="str">
        <f>VLOOKUP(C12,'SALARY DETALES'!$B$2:$D$475,3,0)</f>
        <v>KARHAI CHEF</v>
      </c>
    </row>
    <row r="13" spans="1:20" x14ac:dyDescent="0.3">
      <c r="B13" s="55">
        <v>11</v>
      </c>
      <c r="C13" s="55">
        <v>16007</v>
      </c>
      <c r="D13" t="s">
        <v>719</v>
      </c>
      <c r="E13" t="s">
        <v>1662</v>
      </c>
      <c r="F13" t="s">
        <v>740</v>
      </c>
      <c r="G13" s="55">
        <v>0</v>
      </c>
      <c r="H13" s="55" t="s">
        <v>1816</v>
      </c>
      <c r="I13" s="55">
        <v>45000</v>
      </c>
      <c r="J13" s="57">
        <f>VLOOKUP(C13,'SALARY DETALES'!$B$2:$S$475,18,0)</f>
        <v>65450</v>
      </c>
      <c r="K13" t="s">
        <v>332</v>
      </c>
      <c r="L13" s="60" t="str">
        <f>VLOOKUP(C13,'SALARY DETALES'!B12:C485,2,0)</f>
        <v>Karahi</v>
      </c>
      <c r="M13" t="s">
        <v>721</v>
      </c>
      <c r="N13" t="s">
        <v>335</v>
      </c>
      <c r="O13" s="62" t="str">
        <f>VLOOKUP(C13,'SALARY DETALES'!$B$2:$D$475,3,0)</f>
        <v>Karahi Helper</v>
      </c>
    </row>
    <row r="14" spans="1:20" x14ac:dyDescent="0.3">
      <c r="B14" s="55">
        <v>12</v>
      </c>
      <c r="C14" s="55">
        <v>16014</v>
      </c>
      <c r="D14" t="s">
        <v>741</v>
      </c>
      <c r="E14" t="s">
        <v>1663</v>
      </c>
      <c r="F14" t="s">
        <v>742</v>
      </c>
      <c r="G14" s="55">
        <v>0</v>
      </c>
      <c r="H14" s="55" t="s">
        <v>1816</v>
      </c>
      <c r="I14" s="55">
        <v>40000</v>
      </c>
      <c r="J14" s="57">
        <f>VLOOKUP(C14,'SALARY DETALES'!$B$2:$S$475,18,0)</f>
        <v>45000</v>
      </c>
      <c r="K14" t="s">
        <v>332</v>
      </c>
      <c r="L14" s="60" t="str">
        <f>VLOOKUP(C14,'SALARY DETALES'!B13:C486,2,0)</f>
        <v>Karahi</v>
      </c>
      <c r="M14" t="s">
        <v>721</v>
      </c>
      <c r="N14" t="s">
        <v>336</v>
      </c>
      <c r="O14" s="62" t="str">
        <f>VLOOKUP(C14,'SALARY DETALES'!$B$2:$D$475,3,0)</f>
        <v>Matan Karhai cook</v>
      </c>
      <c r="Q14" t="s">
        <v>743</v>
      </c>
    </row>
    <row r="15" spans="1:20" x14ac:dyDescent="0.3">
      <c r="B15" s="55">
        <v>13</v>
      </c>
      <c r="C15" s="55">
        <v>17002</v>
      </c>
      <c r="D15" t="s">
        <v>719</v>
      </c>
      <c r="E15" t="s">
        <v>1664</v>
      </c>
      <c r="F15" t="s">
        <v>731</v>
      </c>
      <c r="G15" s="55">
        <v>0</v>
      </c>
      <c r="H15" s="55" t="s">
        <v>1816</v>
      </c>
      <c r="I15" s="55">
        <v>50000</v>
      </c>
      <c r="J15" s="57">
        <f>VLOOKUP(C15,'SALARY DETALES'!$B$2:$S$475,18,0)</f>
        <v>71500</v>
      </c>
      <c r="K15" t="s">
        <v>350</v>
      </c>
      <c r="L15" s="60" t="str">
        <f>VLOOKUP(C15,'SALARY DETALES'!B14:C487,2,0)</f>
        <v>KATAKAT</v>
      </c>
      <c r="M15" t="s">
        <v>721</v>
      </c>
      <c r="N15" t="s">
        <v>351</v>
      </c>
      <c r="O15" s="62" t="str">
        <f>VLOOKUP(C15,'SALARY DETALES'!$B$2:$D$475,3,0)</f>
        <v>Katakat Chef</v>
      </c>
    </row>
    <row r="16" spans="1:20" x14ac:dyDescent="0.3">
      <c r="B16" s="55">
        <v>14</v>
      </c>
      <c r="C16" s="55">
        <v>18003</v>
      </c>
      <c r="D16" t="s">
        <v>719</v>
      </c>
      <c r="E16" t="s">
        <v>1665</v>
      </c>
      <c r="F16" t="s">
        <v>744</v>
      </c>
      <c r="G16" s="55">
        <v>0</v>
      </c>
      <c r="H16" s="55" t="s">
        <v>1816</v>
      </c>
      <c r="I16" s="55">
        <v>20000</v>
      </c>
      <c r="J16" s="57">
        <f>VLOOKUP(C16,'SALARY DETALES'!$B$2:$S$475,18,0)</f>
        <v>26400</v>
      </c>
      <c r="K16" t="s">
        <v>103</v>
      </c>
      <c r="L16" s="60" t="str">
        <f>VLOOKUP(C16,'SALARY DETALES'!B15:C488,2,0)</f>
        <v>BBQ</v>
      </c>
      <c r="M16" t="s">
        <v>721</v>
      </c>
      <c r="N16" t="s">
        <v>104</v>
      </c>
      <c r="O16" s="62" t="str">
        <f>VLOOKUP(C16,'SALARY DETALES'!$B$2:$D$475,3,0)</f>
        <v>BBQ Helper</v>
      </c>
      <c r="T16" t="s">
        <v>745</v>
      </c>
    </row>
    <row r="17" spans="2:20" x14ac:dyDescent="0.3">
      <c r="B17" s="55">
        <v>15</v>
      </c>
      <c r="C17" s="55">
        <v>18005</v>
      </c>
      <c r="D17" t="s">
        <v>719</v>
      </c>
      <c r="E17" t="s">
        <v>1666</v>
      </c>
      <c r="F17" t="s">
        <v>726</v>
      </c>
      <c r="G17" s="55">
        <v>60</v>
      </c>
      <c r="H17" s="55" t="s">
        <v>1817</v>
      </c>
      <c r="I17" s="55">
        <v>20000</v>
      </c>
      <c r="J17" s="57">
        <f>VLOOKUP(C17,'SALARY DETALES'!$B$2:$S$475,18,0)</f>
        <v>27500</v>
      </c>
      <c r="K17" t="s">
        <v>80</v>
      </c>
      <c r="L17" s="60" t="str">
        <f>VLOOKUP(C17,'SALARY DETALES'!B16:C489,2,0)</f>
        <v>LAUNDRY</v>
      </c>
      <c r="M17" t="s">
        <v>721</v>
      </c>
      <c r="N17" t="s">
        <v>83</v>
      </c>
      <c r="O17" s="62" t="str">
        <f>VLOOKUP(C17,'SALARY DETALES'!$B$2:$D$475,3,0)</f>
        <v>LAUNDRY</v>
      </c>
    </row>
    <row r="18" spans="2:20" x14ac:dyDescent="0.3">
      <c r="B18" s="55">
        <v>16</v>
      </c>
      <c r="C18" s="55">
        <v>22016</v>
      </c>
      <c r="D18" t="s">
        <v>719</v>
      </c>
      <c r="E18" t="s">
        <v>1667</v>
      </c>
      <c r="F18" t="s">
        <v>746</v>
      </c>
      <c r="G18" s="55">
        <v>0</v>
      </c>
      <c r="H18" s="55" t="s">
        <v>1816</v>
      </c>
      <c r="I18" s="55">
        <v>16000</v>
      </c>
      <c r="J18" s="57">
        <f>VLOOKUP(C18,'SALARY DETALES'!$B$2:$S$475,18,0)</f>
        <v>40000</v>
      </c>
      <c r="K18" t="s">
        <v>398</v>
      </c>
      <c r="L18" s="60" t="str">
        <f>VLOOKUP(C18,'SALARY DETALES'!B17:C490,2,0)</f>
        <v>Mocktail Bar</v>
      </c>
      <c r="M18" t="s">
        <v>721</v>
      </c>
      <c r="N18" t="s">
        <v>399</v>
      </c>
      <c r="O18" s="62" t="str">
        <f>VLOOKUP(C18,'SALARY DETALES'!$B$2:$D$475,3,0)</f>
        <v>Mocktail Bar Head</v>
      </c>
      <c r="Q18" t="s">
        <v>747</v>
      </c>
    </row>
    <row r="19" spans="2:20" x14ac:dyDescent="0.3">
      <c r="B19" s="55">
        <v>17</v>
      </c>
      <c r="C19" s="55">
        <v>22017</v>
      </c>
      <c r="D19" t="s">
        <v>719</v>
      </c>
      <c r="E19" t="s">
        <v>1668</v>
      </c>
      <c r="F19" t="s">
        <v>746</v>
      </c>
      <c r="G19" s="55">
        <v>45</v>
      </c>
      <c r="H19" s="55" t="s">
        <v>1817</v>
      </c>
      <c r="I19" s="55">
        <v>15000</v>
      </c>
      <c r="J19" s="57">
        <f>VLOOKUP(C19,'SALARY DETALES'!$B$2:$S$475,18,0)</f>
        <v>23000</v>
      </c>
      <c r="K19" t="s">
        <v>685</v>
      </c>
      <c r="L19" s="60" t="str">
        <f>VLOOKUP(C19,'SALARY DETALES'!B18:C491,2,0)</f>
        <v>Tandoor Pickup</v>
      </c>
      <c r="M19" t="s">
        <v>721</v>
      </c>
      <c r="N19" t="s">
        <v>685</v>
      </c>
      <c r="O19" s="62" t="str">
        <f>VLOOKUP(C19,'SALARY DETALES'!$B$2:$D$475,3,0)</f>
        <v>Tandoor Pickup</v>
      </c>
      <c r="P19" t="s">
        <v>748</v>
      </c>
    </row>
    <row r="20" spans="2:20" x14ac:dyDescent="0.3">
      <c r="B20" s="55">
        <v>18</v>
      </c>
      <c r="C20" s="55">
        <v>22032</v>
      </c>
      <c r="D20" t="s">
        <v>719</v>
      </c>
      <c r="E20" t="s">
        <v>1669</v>
      </c>
      <c r="F20" t="s">
        <v>749</v>
      </c>
      <c r="G20" s="55">
        <v>0</v>
      </c>
      <c r="H20" s="55" t="s">
        <v>1816</v>
      </c>
      <c r="I20" s="55">
        <v>13000</v>
      </c>
      <c r="J20" s="57">
        <f>VLOOKUP(C20,'SALARY DETALES'!$B$2:$S$475,18,0)</f>
        <v>24200</v>
      </c>
      <c r="K20" t="s">
        <v>398</v>
      </c>
      <c r="L20" s="60" t="str">
        <f>VLOOKUP(C20,'SALARY DETALES'!B19:C492,2,0)</f>
        <v>Mocktail Bar</v>
      </c>
      <c r="M20" t="s">
        <v>721</v>
      </c>
      <c r="N20" t="s">
        <v>401</v>
      </c>
      <c r="O20" s="62" t="str">
        <f>VLOOKUP(C20,'SALARY DETALES'!$B$2:$D$475,3,0)</f>
        <v>Mocktail HELPER</v>
      </c>
    </row>
    <row r="21" spans="2:20" x14ac:dyDescent="0.3">
      <c r="B21" s="55">
        <v>19</v>
      </c>
      <c r="C21" s="55">
        <v>23007</v>
      </c>
      <c r="D21" t="s">
        <v>719</v>
      </c>
      <c r="E21" t="s">
        <v>1670</v>
      </c>
      <c r="F21" t="s">
        <v>746</v>
      </c>
      <c r="G21" s="55">
        <v>465</v>
      </c>
      <c r="H21" s="55" t="s">
        <v>1817</v>
      </c>
      <c r="I21" s="55">
        <v>27000</v>
      </c>
      <c r="J21" s="57">
        <f>VLOOKUP(C21,'SALARY DETALES'!$B$2:$S$475,18,0)</f>
        <v>39551.599999999999</v>
      </c>
      <c r="K21" t="s">
        <v>286</v>
      </c>
      <c r="L21" s="60" t="str">
        <f>VLOOKUP(C21,'SALARY DETALES'!B20:C493,2,0)</f>
        <v>GRO</v>
      </c>
      <c r="M21" t="s">
        <v>721</v>
      </c>
      <c r="N21" t="s">
        <v>292</v>
      </c>
      <c r="O21" s="62" t="str">
        <f>VLOOKUP(C21,'SALARY DETALES'!$B$2:$D$475,3,0)</f>
        <v>GRO (RECEP)</v>
      </c>
      <c r="P21" t="s">
        <v>750</v>
      </c>
      <c r="Q21" s="55">
        <v>3004861806</v>
      </c>
      <c r="R21" s="55">
        <v>3182388671</v>
      </c>
      <c r="S21" t="s">
        <v>751</v>
      </c>
    </row>
    <row r="22" spans="2:20" x14ac:dyDescent="0.3">
      <c r="B22" s="55">
        <v>20</v>
      </c>
      <c r="C22" s="55">
        <v>23008</v>
      </c>
      <c r="D22" t="s">
        <v>719</v>
      </c>
      <c r="E22" t="s">
        <v>1671</v>
      </c>
      <c r="F22" t="s">
        <v>746</v>
      </c>
      <c r="G22" s="55">
        <v>480</v>
      </c>
      <c r="H22" s="55" t="s">
        <v>1817</v>
      </c>
      <c r="I22" s="55">
        <v>25000</v>
      </c>
      <c r="J22" s="57">
        <f>VLOOKUP(C22,'SALARY DETALES'!$B$2:$S$475,18,0)</f>
        <v>35000</v>
      </c>
      <c r="K22" t="s">
        <v>59</v>
      </c>
      <c r="L22" s="60" t="e">
        <f>VLOOKUP(C22,'SALARY DETALES'!B21:C494,2,0)</f>
        <v>#N/A</v>
      </c>
      <c r="M22" t="s">
        <v>721</v>
      </c>
      <c r="N22" t="s">
        <v>60</v>
      </c>
      <c r="O22" s="62" t="str">
        <f>VLOOKUP(C22,'SALARY DETALES'!$B$2:$D$475,3,0)</f>
        <v>office boy</v>
      </c>
    </row>
    <row r="23" spans="2:20" x14ac:dyDescent="0.3">
      <c r="B23" s="55">
        <v>21</v>
      </c>
      <c r="C23" s="55">
        <v>25001</v>
      </c>
      <c r="D23" t="s">
        <v>719</v>
      </c>
      <c r="E23" t="s">
        <v>1672</v>
      </c>
      <c r="F23" t="s">
        <v>752</v>
      </c>
      <c r="G23" s="55">
        <v>360</v>
      </c>
      <c r="H23" s="55" t="s">
        <v>1817</v>
      </c>
      <c r="I23" s="55">
        <v>30000</v>
      </c>
      <c r="J23" s="57">
        <f>VLOOKUP(C23,'SALARY DETALES'!$B$2:$S$475,18,0)</f>
        <v>35000</v>
      </c>
      <c r="K23" t="s">
        <v>654</v>
      </c>
      <c r="L23" s="60" t="str">
        <f>VLOOKUP(C23,'SALARY DETALES'!B22:C495,2,0)</f>
        <v>STORE</v>
      </c>
      <c r="M23" t="s">
        <v>721</v>
      </c>
      <c r="N23" t="s">
        <v>655</v>
      </c>
      <c r="O23" s="62" t="str">
        <f>VLOOKUP(C23,'SALARY DETALES'!$B$2:$D$475,3,0)</f>
        <v>Outdoor Rider</v>
      </c>
      <c r="P23" t="s">
        <v>753</v>
      </c>
      <c r="Q23" s="55">
        <v>3152208618</v>
      </c>
      <c r="R23" s="55">
        <v>3103299412</v>
      </c>
      <c r="S23" t="s">
        <v>754</v>
      </c>
    </row>
    <row r="24" spans="2:20" x14ac:dyDescent="0.3">
      <c r="B24" s="55">
        <v>22</v>
      </c>
      <c r="C24" s="55">
        <v>26008</v>
      </c>
      <c r="D24" t="s">
        <v>719</v>
      </c>
      <c r="E24" t="s">
        <v>1673</v>
      </c>
      <c r="F24" t="s">
        <v>726</v>
      </c>
      <c r="G24" s="55">
        <v>60</v>
      </c>
      <c r="H24" s="55" t="s">
        <v>1817</v>
      </c>
      <c r="I24" s="55">
        <v>18000</v>
      </c>
      <c r="J24" s="57">
        <f>VLOOKUP(C24,'SALARY DETALES'!$B$2:$S$475,18,0)</f>
        <v>27500</v>
      </c>
      <c r="K24" t="s">
        <v>685</v>
      </c>
      <c r="L24" s="60" t="str">
        <f>VLOOKUP(C24,'SALARY DETALES'!B23:C496,2,0)</f>
        <v>Tandoor Pickup</v>
      </c>
      <c r="M24" t="s">
        <v>721</v>
      </c>
      <c r="N24" t="s">
        <v>685</v>
      </c>
      <c r="O24" s="62" t="str">
        <f>VLOOKUP(C24,'SALARY DETALES'!$B$2:$D$475,3,0)</f>
        <v>Tandoor Pickup</v>
      </c>
      <c r="P24" t="s">
        <v>755</v>
      </c>
    </row>
    <row r="25" spans="2:20" x14ac:dyDescent="0.3">
      <c r="B25" s="55">
        <v>23</v>
      </c>
      <c r="C25" s="55">
        <v>26019</v>
      </c>
      <c r="D25" t="s">
        <v>719</v>
      </c>
      <c r="E25" t="s">
        <v>1674</v>
      </c>
      <c r="F25" t="s">
        <v>756</v>
      </c>
      <c r="G25" s="55">
        <v>0</v>
      </c>
      <c r="H25" s="55" t="s">
        <v>1816</v>
      </c>
      <c r="I25" s="55">
        <v>30000</v>
      </c>
      <c r="J25" s="57">
        <f>VLOOKUP(C25,'SALARY DETALES'!$B$2:$S$475,18,0)</f>
        <v>38500</v>
      </c>
      <c r="K25" t="s">
        <v>667</v>
      </c>
      <c r="L25" s="60" t="str">
        <f>VLOOKUP(C25,'SALARY DETALES'!B24:C497,2,0)</f>
        <v>Tandoor</v>
      </c>
      <c r="M25" t="s">
        <v>721</v>
      </c>
      <c r="N25" t="s">
        <v>668</v>
      </c>
      <c r="O25" s="62" t="str">
        <f>VLOOKUP(C25,'SALARY DETALES'!$B$2:$D$475,3,0)</f>
        <v>TANDOOR HELPER</v>
      </c>
    </row>
    <row r="26" spans="2:20" x14ac:dyDescent="0.3">
      <c r="B26" s="55">
        <v>24</v>
      </c>
      <c r="C26" s="55">
        <v>26021</v>
      </c>
      <c r="D26" t="s">
        <v>719</v>
      </c>
      <c r="E26" t="s">
        <v>1675</v>
      </c>
      <c r="F26" t="s">
        <v>757</v>
      </c>
      <c r="G26" s="55">
        <v>0</v>
      </c>
      <c r="H26" s="55" t="s">
        <v>1816</v>
      </c>
      <c r="I26" s="55">
        <v>33000</v>
      </c>
      <c r="J26" s="57">
        <f>VLOOKUP(C26,'SALARY DETALES'!$B$2:$S$475,18,0)</f>
        <v>40700</v>
      </c>
      <c r="K26" t="s">
        <v>667</v>
      </c>
      <c r="L26" s="60" t="str">
        <f>VLOOKUP(C26,'SALARY DETALES'!B25:C498,2,0)</f>
        <v>Tandoor</v>
      </c>
      <c r="M26" t="s">
        <v>721</v>
      </c>
      <c r="N26" t="s">
        <v>670</v>
      </c>
      <c r="O26" s="62" t="str">
        <f>VLOOKUP(C26,'SALARY DETALES'!$B$2:$D$475,3,0)</f>
        <v>Tandoor Cook</v>
      </c>
      <c r="T26" t="s">
        <v>758</v>
      </c>
    </row>
    <row r="27" spans="2:20" x14ac:dyDescent="0.3">
      <c r="B27" s="55">
        <v>25</v>
      </c>
      <c r="C27" s="55">
        <v>26024</v>
      </c>
      <c r="D27" t="s">
        <v>719</v>
      </c>
      <c r="E27" t="s">
        <v>1676</v>
      </c>
      <c r="F27" t="s">
        <v>759</v>
      </c>
      <c r="G27" s="55">
        <v>0</v>
      </c>
      <c r="H27" s="55" t="s">
        <v>1816</v>
      </c>
      <c r="I27" s="55">
        <v>45000</v>
      </c>
      <c r="J27" s="57">
        <f>VLOOKUP(C27,'SALARY DETALES'!$B$2:$S$475,18,0)</f>
        <v>55000</v>
      </c>
      <c r="K27" t="s">
        <v>667</v>
      </c>
      <c r="L27" s="60" t="str">
        <f>VLOOKUP(C27,'SALARY DETALES'!B26:C499,2,0)</f>
        <v>Tandoor</v>
      </c>
      <c r="M27" t="s">
        <v>721</v>
      </c>
      <c r="N27" t="s">
        <v>670</v>
      </c>
      <c r="O27" s="62" t="str">
        <f>VLOOKUP(C27,'SALARY DETALES'!$B$2:$D$475,3,0)</f>
        <v>Tandoor Cook</v>
      </c>
    </row>
    <row r="28" spans="2:20" x14ac:dyDescent="0.3">
      <c r="B28" s="55">
        <v>26</v>
      </c>
      <c r="C28" s="55">
        <v>28001</v>
      </c>
      <c r="D28" t="s">
        <v>719</v>
      </c>
      <c r="E28" t="s">
        <v>236</v>
      </c>
      <c r="F28" t="s">
        <v>760</v>
      </c>
      <c r="G28" s="55">
        <v>0</v>
      </c>
      <c r="H28" s="55" t="s">
        <v>1816</v>
      </c>
      <c r="I28" s="55">
        <v>30000</v>
      </c>
      <c r="J28" s="57">
        <f>VLOOKUP(C28,'SALARY DETALES'!$B$2:$S$475,18,0)</f>
        <v>60000</v>
      </c>
      <c r="K28" t="s">
        <v>234</v>
      </c>
      <c r="L28" s="60" t="str">
        <f>VLOOKUP(C28,'SALARY DETALES'!B27:C500,2,0)</f>
        <v>Floor Management</v>
      </c>
      <c r="M28" t="s">
        <v>721</v>
      </c>
      <c r="N28" t="s">
        <v>235</v>
      </c>
      <c r="O28" s="62" t="str">
        <f>VLOOKUP(C28,'SALARY DETALES'!$B$2:$D$475,3,0)</f>
        <v>MANAGER</v>
      </c>
    </row>
    <row r="29" spans="2:20" x14ac:dyDescent="0.3">
      <c r="B29" s="55">
        <v>27</v>
      </c>
      <c r="C29" s="55">
        <v>28002</v>
      </c>
      <c r="D29" t="s">
        <v>719</v>
      </c>
      <c r="E29" t="s">
        <v>237</v>
      </c>
      <c r="F29" t="s">
        <v>746</v>
      </c>
      <c r="G29" s="55">
        <v>0</v>
      </c>
      <c r="H29" s="55" t="s">
        <v>1816</v>
      </c>
      <c r="I29" s="55">
        <v>40000</v>
      </c>
      <c r="J29" s="57">
        <f>VLOOKUP(C29,'SALARY DETALES'!$B$2:$S$475,18,0)</f>
        <v>40000</v>
      </c>
      <c r="K29" t="s">
        <v>234</v>
      </c>
      <c r="L29" s="60" t="str">
        <f>VLOOKUP(C29,'SALARY DETALES'!B28:C501,2,0)</f>
        <v>Floor Management</v>
      </c>
      <c r="M29" t="s">
        <v>721</v>
      </c>
      <c r="N29" t="s">
        <v>235</v>
      </c>
      <c r="O29" s="62" t="str">
        <f>VLOOKUP(C29,'SALARY DETALES'!$B$2:$D$475,3,0)</f>
        <v>MANAGER</v>
      </c>
    </row>
    <row r="30" spans="2:20" x14ac:dyDescent="0.3">
      <c r="B30" s="55">
        <v>28</v>
      </c>
      <c r="C30" s="55">
        <v>28009</v>
      </c>
      <c r="D30" t="s">
        <v>719</v>
      </c>
      <c r="E30" t="s">
        <v>1677</v>
      </c>
      <c r="F30" t="s">
        <v>761</v>
      </c>
      <c r="G30" s="55">
        <v>0</v>
      </c>
      <c r="H30" s="55" t="s">
        <v>1816</v>
      </c>
      <c r="I30" s="55">
        <v>18000</v>
      </c>
      <c r="J30" s="57">
        <f>VLOOKUP(C30,'SALARY DETALES'!$B$2:$S$475,18,0)</f>
        <v>25000</v>
      </c>
      <c r="K30" t="s">
        <v>567</v>
      </c>
      <c r="L30" s="60" t="str">
        <f>VLOOKUP(C30,'SALARY DETALES'!B29:C502,2,0)</f>
        <v>Section D #1</v>
      </c>
      <c r="M30" t="s">
        <v>721</v>
      </c>
      <c r="N30" t="s">
        <v>280</v>
      </c>
      <c r="O30" s="62" t="str">
        <f>VLOOKUP(C30,'SALARY DETALES'!$B$2:$D$475,3,0)</f>
        <v>OT</v>
      </c>
    </row>
    <row r="31" spans="2:20" x14ac:dyDescent="0.3">
      <c r="B31" s="55">
        <v>29</v>
      </c>
      <c r="C31" s="55">
        <v>28010</v>
      </c>
      <c r="D31" t="s">
        <v>719</v>
      </c>
      <c r="E31" t="s">
        <v>1678</v>
      </c>
      <c r="F31" t="s">
        <v>746</v>
      </c>
      <c r="G31" s="55">
        <v>45</v>
      </c>
      <c r="H31" s="55" t="s">
        <v>1817</v>
      </c>
      <c r="I31" s="55">
        <v>18000</v>
      </c>
      <c r="J31" s="57">
        <f>VLOOKUP(C31,'SALARY DETALES'!$B$2:$S$475,18,0)</f>
        <v>30000</v>
      </c>
      <c r="K31" t="s">
        <v>567</v>
      </c>
      <c r="L31" s="60" t="str">
        <f>VLOOKUP(C31,'SALARY DETALES'!B30:C503,2,0)</f>
        <v>Section D #1</v>
      </c>
      <c r="M31" t="s">
        <v>721</v>
      </c>
      <c r="N31" t="s">
        <v>280</v>
      </c>
      <c r="O31" s="62" t="str">
        <f>VLOOKUP(C31,'SALARY DETALES'!$B$2:$D$475,3,0)</f>
        <v>OT</v>
      </c>
    </row>
    <row r="32" spans="2:20" x14ac:dyDescent="0.3">
      <c r="B32" s="55">
        <v>30</v>
      </c>
      <c r="C32" s="55">
        <v>28032</v>
      </c>
      <c r="D32" t="s">
        <v>719</v>
      </c>
      <c r="E32" t="s">
        <v>1679</v>
      </c>
      <c r="F32" t="s">
        <v>762</v>
      </c>
      <c r="G32" s="55">
        <v>0</v>
      </c>
      <c r="H32" s="55" t="s">
        <v>1816</v>
      </c>
      <c r="I32" s="55">
        <v>18000</v>
      </c>
      <c r="J32" s="57">
        <f>VLOOKUP(C32,'SALARY DETALES'!$B$2:$S$475,18,0)</f>
        <v>25000</v>
      </c>
      <c r="K32" t="s">
        <v>637</v>
      </c>
      <c r="L32" s="60" t="str">
        <f>VLOOKUP(C32,'SALARY DETALES'!B31:C504,2,0)</f>
        <v>Section F2</v>
      </c>
      <c r="M32" t="s">
        <v>721</v>
      </c>
      <c r="N32" t="s">
        <v>280</v>
      </c>
      <c r="O32" s="62" t="str">
        <f>VLOOKUP(C32,'SALARY DETALES'!$B$2:$D$475,3,0)</f>
        <v>OT</v>
      </c>
    </row>
    <row r="33" spans="2:20" x14ac:dyDescent="0.3">
      <c r="B33" s="55">
        <v>31</v>
      </c>
      <c r="C33" s="55">
        <v>28038</v>
      </c>
      <c r="D33" t="s">
        <v>719</v>
      </c>
      <c r="E33" t="s">
        <v>1680</v>
      </c>
      <c r="F33" t="s">
        <v>731</v>
      </c>
      <c r="G33" s="55">
        <v>0</v>
      </c>
      <c r="H33" s="55" t="s">
        <v>1816</v>
      </c>
      <c r="I33" s="55">
        <v>13000</v>
      </c>
      <c r="J33" s="57">
        <f>VLOOKUP(C33,'SALARY DETALES'!$B$2:$S$475,18,0)</f>
        <v>22000</v>
      </c>
      <c r="K33" t="s">
        <v>332</v>
      </c>
      <c r="L33" s="60" t="str">
        <f>VLOOKUP(C33,'SALARY DETALES'!B32:C505,2,0)</f>
        <v>Karahi</v>
      </c>
      <c r="M33" t="s">
        <v>721</v>
      </c>
      <c r="N33" t="s">
        <v>125</v>
      </c>
      <c r="O33" s="62" t="str">
        <f>VLOOKUP(C33,'SALARY DETALES'!$B$2:$D$475,3,0)</f>
        <v>HELPER</v>
      </c>
      <c r="P33" t="s">
        <v>763</v>
      </c>
      <c r="Q33" s="55">
        <v>3442844868</v>
      </c>
      <c r="R33" s="55">
        <v>3423377431</v>
      </c>
      <c r="S33" t="s">
        <v>764</v>
      </c>
    </row>
    <row r="34" spans="2:20" x14ac:dyDescent="0.3">
      <c r="B34" s="55">
        <v>32</v>
      </c>
      <c r="C34" s="55">
        <v>29004</v>
      </c>
      <c r="D34" t="s">
        <v>719</v>
      </c>
      <c r="E34" t="s">
        <v>600</v>
      </c>
      <c r="F34" t="s">
        <v>765</v>
      </c>
      <c r="G34" s="55">
        <v>405</v>
      </c>
      <c r="H34" s="55" t="s">
        <v>1817</v>
      </c>
      <c r="I34" s="55">
        <v>18000</v>
      </c>
      <c r="J34" s="57">
        <f>VLOOKUP(C34,'SALARY DETALES'!$B$2:$S$475,18,0)</f>
        <v>30000</v>
      </c>
      <c r="K34" t="s">
        <v>596</v>
      </c>
      <c r="L34" s="60" t="str">
        <f>VLOOKUP(C34,'SALARY DETALES'!B33:C506,2,0)</f>
        <v>Section E</v>
      </c>
      <c r="M34" t="s">
        <v>721</v>
      </c>
      <c r="N34" t="s">
        <v>238</v>
      </c>
      <c r="O34" s="62" t="str">
        <f>VLOOKUP(C34,'SALARY DETALES'!$B$2:$D$475,3,0)</f>
        <v>CAPTAIN</v>
      </c>
      <c r="T34" t="s">
        <v>766</v>
      </c>
    </row>
    <row r="35" spans="2:20" x14ac:dyDescent="0.3">
      <c r="B35" s="55">
        <v>33</v>
      </c>
      <c r="C35" s="55">
        <v>29007</v>
      </c>
      <c r="D35" t="s">
        <v>719</v>
      </c>
      <c r="E35" t="s">
        <v>1681</v>
      </c>
      <c r="F35" t="s">
        <v>767</v>
      </c>
      <c r="G35" s="55">
        <v>0</v>
      </c>
      <c r="H35" s="55" t="s">
        <v>1816</v>
      </c>
      <c r="I35" s="55">
        <v>18000</v>
      </c>
      <c r="J35" s="57">
        <f>VLOOKUP(C35,'SALARY DETALES'!$B$2:$S$475,18,0)</f>
        <v>25000</v>
      </c>
      <c r="K35" t="s">
        <v>528</v>
      </c>
      <c r="L35" s="60" t="str">
        <f>VLOOKUP(C35,'SALARY DETALES'!B34:C507,2,0)</f>
        <v>Section B #1</v>
      </c>
      <c r="M35" t="s">
        <v>721</v>
      </c>
      <c r="N35" t="s">
        <v>280</v>
      </c>
      <c r="O35" s="62" t="str">
        <f>VLOOKUP(C35,'SALARY DETALES'!$B$2:$D$475,3,0)</f>
        <v>OT</v>
      </c>
    </row>
    <row r="36" spans="2:20" x14ac:dyDescent="0.3">
      <c r="B36" s="55">
        <v>34</v>
      </c>
      <c r="C36" s="55">
        <v>29056</v>
      </c>
      <c r="D36" t="s">
        <v>741</v>
      </c>
      <c r="E36" t="s">
        <v>1682</v>
      </c>
      <c r="F36" t="s">
        <v>768</v>
      </c>
      <c r="G36" s="55">
        <v>0</v>
      </c>
      <c r="H36" s="55" t="s">
        <v>1816</v>
      </c>
      <c r="I36" s="55">
        <v>25000</v>
      </c>
      <c r="J36" s="57">
        <f>VLOOKUP(C36,'SALARY DETALES'!$B$2:$S$475,18,0)</f>
        <v>36300</v>
      </c>
      <c r="K36" t="s">
        <v>234</v>
      </c>
      <c r="L36" s="60" t="str">
        <f>VLOOKUP(C36,'SALARY DETALES'!B35:C508,2,0)</f>
        <v>Floor Management</v>
      </c>
      <c r="M36" t="s">
        <v>721</v>
      </c>
      <c r="N36" t="s">
        <v>238</v>
      </c>
      <c r="O36" s="62" t="str">
        <f>VLOOKUP(C36,'SALARY DETALES'!$B$2:$D$475,3,0)</f>
        <v>CAPTAIN</v>
      </c>
      <c r="P36" t="s">
        <v>769</v>
      </c>
      <c r="Q36" t="s">
        <v>770</v>
      </c>
      <c r="T36" t="s">
        <v>771</v>
      </c>
    </row>
    <row r="37" spans="2:20" x14ac:dyDescent="0.3">
      <c r="B37" s="55">
        <v>35</v>
      </c>
      <c r="C37" s="55">
        <v>30008</v>
      </c>
      <c r="D37" t="s">
        <v>719</v>
      </c>
      <c r="E37" t="s">
        <v>1683</v>
      </c>
      <c r="F37" t="s">
        <v>726</v>
      </c>
      <c r="G37" s="55">
        <v>0</v>
      </c>
      <c r="H37" s="55" t="s">
        <v>1816</v>
      </c>
      <c r="I37" s="55">
        <v>14000</v>
      </c>
      <c r="J37" s="57">
        <f>VLOOKUP(C37,'SALARY DETALES'!$B$2:$S$475,18,0)</f>
        <v>18000</v>
      </c>
      <c r="K37" t="s">
        <v>567</v>
      </c>
      <c r="L37" s="60" t="str">
        <f>VLOOKUP(C37,'SALARY DETALES'!B36:C509,2,0)</f>
        <v>Section D #1</v>
      </c>
      <c r="M37" t="s">
        <v>721</v>
      </c>
      <c r="N37" t="s">
        <v>482</v>
      </c>
      <c r="O37" s="62" t="str">
        <f>VLOOKUP(C37,'SALARY DETALES'!$B$2:$D$475,3,0)</f>
        <v>BST</v>
      </c>
    </row>
    <row r="38" spans="2:20" x14ac:dyDescent="0.3">
      <c r="B38" s="55">
        <v>36</v>
      </c>
      <c r="C38" s="55">
        <v>30014</v>
      </c>
      <c r="D38" t="s">
        <v>719</v>
      </c>
      <c r="E38" t="s">
        <v>508</v>
      </c>
      <c r="F38" t="s">
        <v>772</v>
      </c>
      <c r="G38" s="55">
        <v>0</v>
      </c>
      <c r="H38" s="55" t="s">
        <v>1816</v>
      </c>
      <c r="I38" s="55">
        <v>18000</v>
      </c>
      <c r="J38" s="57">
        <f>VLOOKUP(C38,'SALARY DETALES'!$B$2:$S$475,18,0)</f>
        <v>25000</v>
      </c>
      <c r="K38" t="s">
        <v>505</v>
      </c>
      <c r="L38" s="60" t="str">
        <f>VLOOKUP(C38,'SALARY DETALES'!B37:C510,2,0)</f>
        <v>Section A#2</v>
      </c>
      <c r="M38" t="s">
        <v>721</v>
      </c>
      <c r="N38" t="s">
        <v>280</v>
      </c>
      <c r="O38" s="62" t="str">
        <f>VLOOKUP(C38,'SALARY DETALES'!$B$2:$D$475,3,0)</f>
        <v>OT</v>
      </c>
      <c r="P38" t="s">
        <v>773</v>
      </c>
      <c r="Q38" t="s">
        <v>774</v>
      </c>
      <c r="T38" t="s">
        <v>775</v>
      </c>
    </row>
    <row r="39" spans="2:20" x14ac:dyDescent="0.3">
      <c r="B39" s="55">
        <v>37</v>
      </c>
      <c r="C39" s="55">
        <v>30048</v>
      </c>
      <c r="D39" t="s">
        <v>719</v>
      </c>
      <c r="E39" t="s">
        <v>240</v>
      </c>
      <c r="F39" t="s">
        <v>776</v>
      </c>
      <c r="G39" s="55">
        <v>0</v>
      </c>
      <c r="H39" s="55" t="s">
        <v>1816</v>
      </c>
      <c r="I39" s="55">
        <v>18000</v>
      </c>
      <c r="J39" s="57">
        <f>VLOOKUP(C39,'SALARY DETALES'!$B$2:$S$475,18,0)</f>
        <v>33000</v>
      </c>
      <c r="K39" t="s">
        <v>234</v>
      </c>
      <c r="L39" s="60" t="str">
        <f>VLOOKUP(C39,'SALARY DETALES'!B38:C511,2,0)</f>
        <v>Floor Management</v>
      </c>
      <c r="M39" t="s">
        <v>721</v>
      </c>
      <c r="N39" t="s">
        <v>238</v>
      </c>
      <c r="O39" s="62" t="str">
        <f>VLOOKUP(C39,'SALARY DETALES'!$B$2:$D$475,3,0)</f>
        <v>CAPTAIN</v>
      </c>
      <c r="P39" t="s">
        <v>777</v>
      </c>
      <c r="Q39" t="s">
        <v>778</v>
      </c>
      <c r="T39" t="s">
        <v>779</v>
      </c>
    </row>
    <row r="40" spans="2:20" x14ac:dyDescent="0.3">
      <c r="B40" s="55">
        <v>38</v>
      </c>
      <c r="C40" s="55">
        <v>31001</v>
      </c>
      <c r="D40" t="s">
        <v>719</v>
      </c>
      <c r="E40" t="s">
        <v>1684</v>
      </c>
      <c r="F40" t="s">
        <v>780</v>
      </c>
      <c r="G40" s="55">
        <v>615</v>
      </c>
      <c r="H40" s="55" t="s">
        <v>1817</v>
      </c>
      <c r="I40" s="55">
        <v>40000</v>
      </c>
      <c r="J40" s="57">
        <f>VLOOKUP(C40,'SALARY DETALES'!$B$2:$S$475,18,0)</f>
        <v>60000</v>
      </c>
      <c r="K40" t="s">
        <v>368</v>
      </c>
      <c r="L40" s="60" t="str">
        <f>VLOOKUP(C40,'SALARY DETALES'!B39:C512,2,0)</f>
        <v>Maintenance</v>
      </c>
      <c r="M40" t="s">
        <v>721</v>
      </c>
      <c r="N40" t="s">
        <v>369</v>
      </c>
      <c r="O40" s="62" t="str">
        <f>VLOOKUP(C40,'SALARY DETALES'!$B$2:$D$475,3,0)</f>
        <v>PLUMBER</v>
      </c>
    </row>
    <row r="41" spans="2:20" x14ac:dyDescent="0.3">
      <c r="B41" s="55">
        <v>39</v>
      </c>
      <c r="C41" s="55">
        <v>1017</v>
      </c>
      <c r="D41" t="s">
        <v>719</v>
      </c>
      <c r="E41" t="s">
        <v>1685</v>
      </c>
      <c r="F41" t="s">
        <v>756</v>
      </c>
      <c r="G41" s="55">
        <v>45</v>
      </c>
      <c r="H41" s="55" t="s">
        <v>1817</v>
      </c>
      <c r="I41" s="55">
        <v>26000</v>
      </c>
      <c r="J41" s="57">
        <f>VLOOKUP(C41,'SALARY DETALES'!$B$2:$S$475,18,0)</f>
        <v>35000</v>
      </c>
      <c r="K41" t="s">
        <v>685</v>
      </c>
      <c r="L41" s="60" t="str">
        <f>VLOOKUP(C41,'SALARY DETALES'!B40:C513,2,0)</f>
        <v>Tandoor Pickup</v>
      </c>
      <c r="M41" t="s">
        <v>721</v>
      </c>
      <c r="N41" t="s">
        <v>454</v>
      </c>
      <c r="O41" s="62" t="str">
        <f>VLOOKUP(C41,'SALARY DETALES'!$B$2:$D$475,3,0)</f>
        <v>ORDER PICKUP</v>
      </c>
    </row>
    <row r="42" spans="2:20" x14ac:dyDescent="0.3">
      <c r="B42" s="55">
        <v>40</v>
      </c>
      <c r="C42" s="55">
        <v>30052</v>
      </c>
      <c r="D42" t="s">
        <v>719</v>
      </c>
      <c r="E42" t="s">
        <v>242</v>
      </c>
      <c r="F42" t="s">
        <v>731</v>
      </c>
      <c r="G42" s="55">
        <v>0</v>
      </c>
      <c r="H42" s="55" t="s">
        <v>1816</v>
      </c>
      <c r="I42" s="55">
        <v>13000</v>
      </c>
      <c r="J42" s="57">
        <f>VLOOKUP(C42,'SALARY DETALES'!$B$2:$S$475,18,0)</f>
        <v>30000</v>
      </c>
      <c r="K42" t="s">
        <v>234</v>
      </c>
      <c r="L42" s="60" t="str">
        <f>VLOOKUP(C42,'SALARY DETALES'!B41:C514,2,0)</f>
        <v>Floor Management</v>
      </c>
      <c r="M42" t="s">
        <v>721</v>
      </c>
      <c r="N42" t="s">
        <v>241</v>
      </c>
      <c r="O42" s="62" t="str">
        <f>VLOOKUP(C42,'SALARY DETALES'!$B$2:$D$475,3,0)</f>
        <v>CAPITAN</v>
      </c>
    </row>
    <row r="43" spans="2:20" x14ac:dyDescent="0.3">
      <c r="B43" s="55">
        <v>41</v>
      </c>
      <c r="C43" s="55">
        <v>30064</v>
      </c>
      <c r="D43" t="s">
        <v>719</v>
      </c>
      <c r="E43" t="s">
        <v>244</v>
      </c>
      <c r="F43" t="s">
        <v>760</v>
      </c>
      <c r="G43" s="55">
        <v>0</v>
      </c>
      <c r="H43" s="55" t="s">
        <v>1816</v>
      </c>
      <c r="I43" s="55">
        <v>30000</v>
      </c>
      <c r="J43" s="57">
        <f>VLOOKUP(C43,'SALARY DETALES'!$B$2:$S$475,18,0)</f>
        <v>45000</v>
      </c>
      <c r="K43" t="s">
        <v>234</v>
      </c>
      <c r="L43" s="60" t="str">
        <f>VLOOKUP(C43,'SALARY DETALES'!B42:C515,2,0)</f>
        <v>Floor Management</v>
      </c>
      <c r="M43" t="s">
        <v>721</v>
      </c>
      <c r="N43" t="s">
        <v>243</v>
      </c>
      <c r="O43" s="62" t="str">
        <f>VLOOKUP(C43,'SALARY DETALES'!$B$2:$D$475,3,0)</f>
        <v>Manager</v>
      </c>
    </row>
    <row r="44" spans="2:20" x14ac:dyDescent="0.3">
      <c r="B44" s="55">
        <v>42</v>
      </c>
      <c r="C44" s="55">
        <v>14023</v>
      </c>
      <c r="D44" t="s">
        <v>741</v>
      </c>
      <c r="E44" t="s">
        <v>1686</v>
      </c>
      <c r="F44" t="s">
        <v>756</v>
      </c>
      <c r="G44" s="55">
        <v>405</v>
      </c>
      <c r="H44" s="55" t="s">
        <v>1817</v>
      </c>
      <c r="I44" s="55">
        <v>25000</v>
      </c>
      <c r="J44" s="57">
        <f>VLOOKUP(C44,'SALARY DETALES'!$B$2:$S$475,18,0)</f>
        <v>32600</v>
      </c>
      <c r="K44" t="s">
        <v>286</v>
      </c>
      <c r="L44" s="60" t="str">
        <f>VLOOKUP(C44,'SALARY DETALES'!B43:C516,2,0)</f>
        <v>GRO</v>
      </c>
      <c r="M44" t="s">
        <v>721</v>
      </c>
      <c r="N44" t="s">
        <v>286</v>
      </c>
      <c r="O44" s="62" t="str">
        <f>VLOOKUP(C44,'SALARY DETALES'!$B$2:$D$475,3,0)</f>
        <v>GRO</v>
      </c>
      <c r="P44" t="s">
        <v>781</v>
      </c>
      <c r="Q44" s="55">
        <v>3144460454</v>
      </c>
      <c r="S44" t="s">
        <v>782</v>
      </c>
      <c r="T44" t="s">
        <v>783</v>
      </c>
    </row>
    <row r="45" spans="2:20" x14ac:dyDescent="0.3">
      <c r="B45" s="55">
        <v>43</v>
      </c>
      <c r="C45" s="55">
        <v>34003</v>
      </c>
      <c r="D45" t="s">
        <v>719</v>
      </c>
      <c r="E45" t="s">
        <v>372</v>
      </c>
      <c r="F45" t="s">
        <v>784</v>
      </c>
      <c r="G45" s="55">
        <v>420</v>
      </c>
      <c r="H45" s="55" t="s">
        <v>1817</v>
      </c>
      <c r="I45" s="55">
        <v>75000</v>
      </c>
      <c r="J45" s="57">
        <f>VLOOKUP(C45,'SALARY DETALES'!$B$2:$S$475,18,0)</f>
        <v>85000</v>
      </c>
      <c r="K45" t="s">
        <v>368</v>
      </c>
      <c r="L45" s="60" t="str">
        <f>VLOOKUP(C45,'SALARY DETALES'!B44:C517,2,0)</f>
        <v>Maintenance</v>
      </c>
      <c r="M45" t="s">
        <v>721</v>
      </c>
      <c r="N45" t="s">
        <v>371</v>
      </c>
      <c r="O45" s="62" t="str">
        <f>VLOOKUP(C45,'SALARY DETALES'!$B$2:$D$475,3,0)</f>
        <v>Maintaince Incharge</v>
      </c>
    </row>
    <row r="46" spans="2:20" x14ac:dyDescent="0.3">
      <c r="B46" s="55">
        <v>44</v>
      </c>
      <c r="C46" s="55">
        <v>4003</v>
      </c>
      <c r="D46" t="s">
        <v>719</v>
      </c>
      <c r="E46" t="s">
        <v>138</v>
      </c>
      <c r="F46" t="s">
        <v>756</v>
      </c>
      <c r="G46" s="55">
        <v>0</v>
      </c>
      <c r="H46" s="55" t="s">
        <v>1817</v>
      </c>
      <c r="I46" s="55">
        <v>35000</v>
      </c>
      <c r="J46" s="57">
        <f>VLOOKUP(C46,'SALARY DETALES'!$B$2:$S$475,18,0)</f>
        <v>42350</v>
      </c>
      <c r="K46" t="s">
        <v>135</v>
      </c>
      <c r="L46" s="60" t="str">
        <f>VLOOKUP(C46,'SALARY DETALES'!B45:C518,2,0)</f>
        <v>BUTCHER</v>
      </c>
      <c r="M46" t="s">
        <v>721</v>
      </c>
      <c r="N46" t="s">
        <v>137</v>
      </c>
      <c r="O46" s="62" t="str">
        <f>VLOOKUP(C46,'SALARY DETALES'!$B$2:$D$475,3,0)</f>
        <v>BUTCHER EXECUITIVE</v>
      </c>
      <c r="T46" t="s">
        <v>732</v>
      </c>
    </row>
    <row r="47" spans="2:20" x14ac:dyDescent="0.3">
      <c r="B47" s="55">
        <v>45</v>
      </c>
      <c r="C47" s="55">
        <v>29060</v>
      </c>
      <c r="D47" t="s">
        <v>719</v>
      </c>
      <c r="E47" t="s">
        <v>1687</v>
      </c>
      <c r="F47" t="s">
        <v>785</v>
      </c>
      <c r="G47" s="55">
        <v>0</v>
      </c>
      <c r="H47" s="55" t="s">
        <v>1816</v>
      </c>
      <c r="I47" s="55">
        <v>18000</v>
      </c>
      <c r="J47" s="57">
        <f>VLOOKUP(C47,'SALARY DETALES'!$B$2:$S$475,18,0)</f>
        <v>25000</v>
      </c>
      <c r="K47" t="s">
        <v>580</v>
      </c>
      <c r="L47" s="60" t="str">
        <f>VLOOKUP(C47,'SALARY DETALES'!B46:C519,2,0)</f>
        <v>Section D #2</v>
      </c>
      <c r="M47" t="s">
        <v>721</v>
      </c>
      <c r="N47" t="s">
        <v>280</v>
      </c>
      <c r="O47" s="62" t="str">
        <f>VLOOKUP(C47,'SALARY DETALES'!$B$2:$D$475,3,0)</f>
        <v>OT</v>
      </c>
      <c r="Q47" t="s">
        <v>786</v>
      </c>
      <c r="T47" t="s">
        <v>787</v>
      </c>
    </row>
    <row r="48" spans="2:20" x14ac:dyDescent="0.3">
      <c r="B48" s="55">
        <v>46</v>
      </c>
      <c r="C48" s="55">
        <v>32018</v>
      </c>
      <c r="D48" t="s">
        <v>719</v>
      </c>
      <c r="E48" t="s">
        <v>1688</v>
      </c>
      <c r="F48" t="s">
        <v>756</v>
      </c>
      <c r="G48" s="55">
        <v>0</v>
      </c>
      <c r="H48" s="55" t="s">
        <v>1816</v>
      </c>
      <c r="I48" s="55">
        <v>18000</v>
      </c>
      <c r="J48" s="57">
        <f>VLOOKUP(C48,'SALARY DETALES'!$B$2:$S$475,18,0)</f>
        <v>27500</v>
      </c>
      <c r="K48" t="s">
        <v>528</v>
      </c>
      <c r="L48" s="60" t="str">
        <f>VLOOKUP(C48,'SALARY DETALES'!B47:C520,2,0)</f>
        <v>Section B #1</v>
      </c>
      <c r="M48" t="s">
        <v>721</v>
      </c>
      <c r="N48" t="s">
        <v>280</v>
      </c>
      <c r="O48" s="62" t="str">
        <f>VLOOKUP(C48,'SALARY DETALES'!$B$2:$D$475,3,0)</f>
        <v>OT</v>
      </c>
      <c r="Q48" t="s">
        <v>788</v>
      </c>
    </row>
    <row r="49" spans="2:20" x14ac:dyDescent="0.3">
      <c r="B49" s="55">
        <v>47</v>
      </c>
      <c r="C49" s="55">
        <v>33009</v>
      </c>
      <c r="D49" t="s">
        <v>719</v>
      </c>
      <c r="E49" t="s">
        <v>1662</v>
      </c>
      <c r="F49" t="s">
        <v>789</v>
      </c>
      <c r="G49" s="55">
        <v>0</v>
      </c>
      <c r="H49" s="55" t="s">
        <v>1816</v>
      </c>
      <c r="I49" s="55">
        <v>30000</v>
      </c>
      <c r="J49" s="57">
        <f>VLOOKUP(C49,'SALARY DETALES'!$B$2:$S$475,18,0)</f>
        <v>36300</v>
      </c>
      <c r="K49" t="s">
        <v>234</v>
      </c>
      <c r="L49" s="60" t="str">
        <f>VLOOKUP(C49,'SALARY DETALES'!B48:C521,2,0)</f>
        <v>Floor Management</v>
      </c>
      <c r="M49" t="s">
        <v>721</v>
      </c>
      <c r="N49" t="s">
        <v>238</v>
      </c>
      <c r="O49" s="62" t="str">
        <f>VLOOKUP(C49,'SALARY DETALES'!$B$2:$D$475,3,0)</f>
        <v>CAPTAIN</v>
      </c>
    </row>
    <row r="50" spans="2:20" x14ac:dyDescent="0.3">
      <c r="B50" s="55">
        <v>48</v>
      </c>
      <c r="C50" s="55">
        <v>33015</v>
      </c>
      <c r="D50" t="s">
        <v>719</v>
      </c>
      <c r="E50" t="s">
        <v>1689</v>
      </c>
      <c r="F50" t="s">
        <v>790</v>
      </c>
      <c r="G50" s="55">
        <v>0</v>
      </c>
      <c r="H50" s="55" t="s">
        <v>1816</v>
      </c>
      <c r="I50" s="55">
        <v>25000</v>
      </c>
      <c r="J50" s="57">
        <f>VLOOKUP(C50,'SALARY DETALES'!$B$2:$S$475,18,0)</f>
        <v>30000</v>
      </c>
      <c r="K50" t="s">
        <v>234</v>
      </c>
      <c r="L50" s="60" t="str">
        <f>VLOOKUP(C50,'SALARY DETALES'!B49:C522,2,0)</f>
        <v>Floor Management</v>
      </c>
      <c r="M50" t="s">
        <v>721</v>
      </c>
      <c r="N50" t="s">
        <v>238</v>
      </c>
      <c r="O50" s="62" t="str">
        <f>VLOOKUP(C50,'SALARY DETALES'!$B$2:$D$475,3,0)</f>
        <v>CAPTAIN</v>
      </c>
    </row>
    <row r="51" spans="2:20" x14ac:dyDescent="0.3">
      <c r="B51" s="55">
        <v>49</v>
      </c>
      <c r="C51" s="55">
        <v>9022</v>
      </c>
      <c r="D51" t="s">
        <v>719</v>
      </c>
      <c r="E51" t="s">
        <v>1690</v>
      </c>
      <c r="F51" t="s">
        <v>791</v>
      </c>
      <c r="G51" s="55">
        <v>0</v>
      </c>
      <c r="H51" s="55" t="s">
        <v>1816</v>
      </c>
      <c r="I51" s="55">
        <v>65000</v>
      </c>
      <c r="J51" s="57">
        <f>VLOOKUP(C51,'SALARY DETALES'!$B$2:$S$475,18,0)</f>
        <v>90000</v>
      </c>
      <c r="K51" t="s">
        <v>178</v>
      </c>
      <c r="L51" s="60" t="str">
        <f>VLOOKUP(C51,'SALARY DETALES'!B50:C523,2,0)</f>
        <v>CONTINENTAL</v>
      </c>
      <c r="M51" t="s">
        <v>721</v>
      </c>
      <c r="N51" t="s">
        <v>179</v>
      </c>
      <c r="O51" s="62" t="str">
        <f>VLOOKUP(C51,'SALARY DETALES'!$B$2:$D$475,3,0)</f>
        <v>CONTINENTAL CHEF</v>
      </c>
    </row>
    <row r="52" spans="2:20" x14ac:dyDescent="0.3">
      <c r="B52" s="55">
        <v>50</v>
      </c>
      <c r="C52" s="55">
        <v>29104</v>
      </c>
      <c r="D52" t="s">
        <v>719</v>
      </c>
      <c r="E52" t="s">
        <v>615</v>
      </c>
      <c r="F52" t="s">
        <v>792</v>
      </c>
      <c r="G52" s="55">
        <v>0</v>
      </c>
      <c r="H52" s="55" t="s">
        <v>1816</v>
      </c>
      <c r="I52" s="55">
        <v>16000</v>
      </c>
      <c r="J52" s="57">
        <f>VLOOKUP(C52,'SALARY DETALES'!$B$2:$S$475,18,0)</f>
        <v>25000</v>
      </c>
      <c r="K52" t="s">
        <v>614</v>
      </c>
      <c r="L52" s="60" t="str">
        <f>VLOOKUP(C52,'SALARY DETALES'!B51:C524,2,0)</f>
        <v>Section E#2</v>
      </c>
      <c r="M52" t="s">
        <v>721</v>
      </c>
      <c r="N52" t="s">
        <v>280</v>
      </c>
      <c r="O52" s="62" t="str">
        <f>VLOOKUP(C52,'SALARY DETALES'!$B$2:$D$475,3,0)</f>
        <v>OT</v>
      </c>
    </row>
    <row r="53" spans="2:20" x14ac:dyDescent="0.3">
      <c r="B53" s="55">
        <v>51</v>
      </c>
      <c r="C53" s="55">
        <v>22070</v>
      </c>
      <c r="D53" t="s">
        <v>719</v>
      </c>
      <c r="E53" t="s">
        <v>1691</v>
      </c>
      <c r="F53" t="s">
        <v>793</v>
      </c>
      <c r="G53" s="55">
        <v>0</v>
      </c>
      <c r="H53" s="55" t="s">
        <v>1816</v>
      </c>
      <c r="I53" s="55">
        <v>13000</v>
      </c>
      <c r="J53" s="57">
        <f>VLOOKUP(C53,'SALARY DETALES'!$B$2:$S$475,18,0)</f>
        <v>19360</v>
      </c>
      <c r="K53" t="s">
        <v>453</v>
      </c>
      <c r="L53" s="60" t="str">
        <f>VLOOKUP(C53,'SALARY DETALES'!B52:C525,2,0)</f>
        <v>RUNNER 2</v>
      </c>
      <c r="M53" t="s">
        <v>721</v>
      </c>
      <c r="N53" t="s">
        <v>454</v>
      </c>
      <c r="O53" s="62" t="str">
        <f>VLOOKUP(C53,'SALARY DETALES'!$B$2:$D$475,3,0)</f>
        <v>ORDER PICKUP</v>
      </c>
    </row>
    <row r="54" spans="2:20" x14ac:dyDescent="0.3">
      <c r="B54" s="55">
        <v>52</v>
      </c>
      <c r="C54" s="55">
        <v>9024</v>
      </c>
      <c r="D54" t="s">
        <v>719</v>
      </c>
      <c r="E54" t="s">
        <v>1692</v>
      </c>
      <c r="F54" t="s">
        <v>794</v>
      </c>
      <c r="G54" s="55">
        <v>0</v>
      </c>
      <c r="H54" s="55" t="s">
        <v>1816</v>
      </c>
      <c r="I54" s="55">
        <v>35000</v>
      </c>
      <c r="J54" s="57">
        <f>VLOOKUP(C54,'SALARY DETALES'!$B$2:$S$475,18,0)</f>
        <v>50000</v>
      </c>
      <c r="K54" t="s">
        <v>178</v>
      </c>
      <c r="L54" s="60" t="str">
        <f>VLOOKUP(C54,'SALARY DETALES'!B53:C526,2,0)</f>
        <v>CONTINENTAL</v>
      </c>
      <c r="M54" t="s">
        <v>721</v>
      </c>
      <c r="N54" t="s">
        <v>181</v>
      </c>
      <c r="O54" s="62" t="str">
        <f>VLOOKUP(C54,'SALARY DETALES'!$B$2:$D$475,3,0)</f>
        <v>Continental Senior</v>
      </c>
    </row>
    <row r="55" spans="2:20" x14ac:dyDescent="0.3">
      <c r="B55" s="55">
        <v>53</v>
      </c>
      <c r="C55" s="55">
        <v>22075</v>
      </c>
      <c r="D55" t="s">
        <v>719</v>
      </c>
      <c r="E55" t="s">
        <v>1693</v>
      </c>
      <c r="F55" t="s">
        <v>795</v>
      </c>
      <c r="G55" s="55">
        <v>0</v>
      </c>
      <c r="H55" s="55" t="s">
        <v>1816</v>
      </c>
      <c r="I55" s="55">
        <v>13000</v>
      </c>
      <c r="J55" s="57">
        <f>VLOOKUP(C55,'SALARY DETALES'!$B$2:$S$475,18,0)</f>
        <v>17600</v>
      </c>
      <c r="K55" t="s">
        <v>350</v>
      </c>
      <c r="L55" s="60" t="str">
        <f>VLOOKUP(C55,'SALARY DETALES'!B54:C527,2,0)</f>
        <v>RUNNER 2</v>
      </c>
      <c r="M55" t="s">
        <v>721</v>
      </c>
      <c r="N55" t="s">
        <v>796</v>
      </c>
      <c r="O55" s="62" t="str">
        <f>VLOOKUP(C55,'SALARY DETALES'!$B$2:$D$475,3,0)</f>
        <v>Runner</v>
      </c>
    </row>
    <row r="56" spans="2:20" x14ac:dyDescent="0.3">
      <c r="B56" s="55">
        <v>54</v>
      </c>
      <c r="C56" s="55">
        <v>22084</v>
      </c>
      <c r="D56" t="s">
        <v>719</v>
      </c>
      <c r="E56" t="s">
        <v>403</v>
      </c>
      <c r="F56" t="s">
        <v>797</v>
      </c>
      <c r="G56" s="55">
        <v>0</v>
      </c>
      <c r="H56" s="55" t="s">
        <v>1816</v>
      </c>
      <c r="I56" s="55">
        <v>13000</v>
      </c>
      <c r="J56" s="57">
        <f>VLOOKUP(C56,'SALARY DETALES'!$B$2:$S$475,18,0)</f>
        <v>27500</v>
      </c>
      <c r="K56" t="s">
        <v>398</v>
      </c>
      <c r="L56" s="60" t="str">
        <f>VLOOKUP(C56,'SALARY DETALES'!B55:C528,2,0)</f>
        <v>Mocktail Bar</v>
      </c>
      <c r="M56" t="s">
        <v>721</v>
      </c>
      <c r="N56" t="s">
        <v>401</v>
      </c>
      <c r="O56" s="62" t="str">
        <f>VLOOKUP(C56,'SALARY DETALES'!$B$2:$D$475,3,0)</f>
        <v>Mocktail HELPER</v>
      </c>
    </row>
    <row r="57" spans="2:20" x14ac:dyDescent="0.3">
      <c r="B57" s="55">
        <v>55</v>
      </c>
      <c r="C57" s="55">
        <v>28083</v>
      </c>
      <c r="D57" t="s">
        <v>719</v>
      </c>
      <c r="E57" t="s">
        <v>623</v>
      </c>
      <c r="F57" t="s">
        <v>798</v>
      </c>
      <c r="G57" s="55">
        <v>0</v>
      </c>
      <c r="H57" s="55" t="s">
        <v>1816</v>
      </c>
      <c r="I57" s="55">
        <v>18000</v>
      </c>
      <c r="J57" s="57">
        <f>VLOOKUP(C57,'SALARY DETALES'!$B$2:$S$475,18,0)</f>
        <v>25000</v>
      </c>
      <c r="K57" t="s">
        <v>621</v>
      </c>
      <c r="L57" s="60" t="str">
        <f>VLOOKUP(C57,'SALARY DETALES'!B56:C529,2,0)</f>
        <v>Section F</v>
      </c>
      <c r="M57" t="s">
        <v>721</v>
      </c>
      <c r="N57" t="s">
        <v>280</v>
      </c>
      <c r="O57" s="62" t="str">
        <f>VLOOKUP(C57,'SALARY DETALES'!$B$2:$D$475,3,0)</f>
        <v>OT</v>
      </c>
      <c r="P57" t="s">
        <v>799</v>
      </c>
      <c r="Q57" t="s">
        <v>800</v>
      </c>
    </row>
    <row r="58" spans="2:20" x14ac:dyDescent="0.3">
      <c r="B58" s="55">
        <v>56</v>
      </c>
      <c r="C58" s="55">
        <v>28087</v>
      </c>
      <c r="D58" t="s">
        <v>719</v>
      </c>
      <c r="E58" t="s">
        <v>247</v>
      </c>
      <c r="F58" t="s">
        <v>801</v>
      </c>
      <c r="G58" s="55">
        <v>15</v>
      </c>
      <c r="H58" s="55" t="s">
        <v>1817</v>
      </c>
      <c r="I58" s="55">
        <v>18000</v>
      </c>
      <c r="J58" s="57">
        <f>VLOOKUP(C58,'SALARY DETALES'!$B$2:$S$475,18,0)</f>
        <v>33000</v>
      </c>
      <c r="K58" t="s">
        <v>234</v>
      </c>
      <c r="L58" s="60" t="str">
        <f>VLOOKUP(C58,'SALARY DETALES'!B57:C530,2,0)</f>
        <v>Floor Management</v>
      </c>
      <c r="M58" t="s">
        <v>721</v>
      </c>
      <c r="N58" t="s">
        <v>238</v>
      </c>
      <c r="O58" s="62" t="str">
        <f>VLOOKUP(C58,'SALARY DETALES'!$B$2:$D$475,3,0)</f>
        <v>CAPTAIN</v>
      </c>
    </row>
    <row r="59" spans="2:20" x14ac:dyDescent="0.3">
      <c r="B59" s="55">
        <v>57</v>
      </c>
      <c r="C59" s="55">
        <v>33071</v>
      </c>
      <c r="D59" t="s">
        <v>719</v>
      </c>
      <c r="E59" t="s">
        <v>1694</v>
      </c>
      <c r="F59" t="s">
        <v>767</v>
      </c>
      <c r="G59" s="55">
        <v>20</v>
      </c>
      <c r="H59" s="55" t="s">
        <v>1817</v>
      </c>
      <c r="I59" s="55">
        <v>18000</v>
      </c>
      <c r="J59" s="57">
        <f>VLOOKUP(C59,'SALARY DETALES'!$B$2:$S$475,18,0)</f>
        <v>33000</v>
      </c>
      <c r="K59" t="s">
        <v>234</v>
      </c>
      <c r="L59" s="60" t="str">
        <f>VLOOKUP(C59,'SALARY DETALES'!B58:C531,2,0)</f>
        <v>Floor Management</v>
      </c>
      <c r="M59" t="s">
        <v>721</v>
      </c>
      <c r="N59" t="s">
        <v>238</v>
      </c>
      <c r="O59" s="62" t="str">
        <f>VLOOKUP(C59,'SALARY DETALES'!$B$2:$D$475,3,0)</f>
        <v>CAPTAIN</v>
      </c>
    </row>
    <row r="60" spans="2:20" x14ac:dyDescent="0.3">
      <c r="B60" s="55">
        <v>58</v>
      </c>
      <c r="C60" s="55">
        <v>24004</v>
      </c>
      <c r="D60" t="s">
        <v>719</v>
      </c>
      <c r="E60" t="s">
        <v>1695</v>
      </c>
      <c r="F60" t="s">
        <v>726</v>
      </c>
      <c r="G60" s="55">
        <v>250</v>
      </c>
      <c r="H60" s="55" t="s">
        <v>1817</v>
      </c>
      <c r="I60" s="55">
        <v>25000</v>
      </c>
      <c r="J60" s="57">
        <f>VLOOKUP(C60,'SALARY DETALES'!$B$2:$S$475,18,0)</f>
        <v>30000</v>
      </c>
      <c r="K60" t="s">
        <v>649</v>
      </c>
      <c r="L60" s="60" t="str">
        <f>VLOOKUP(C60,'SALARY DETALES'!B59:C532,2,0)</f>
        <v>Staff Food</v>
      </c>
      <c r="M60" t="s">
        <v>721</v>
      </c>
      <c r="N60" t="s">
        <v>650</v>
      </c>
      <c r="O60" s="62" t="str">
        <f>VLOOKUP(C60,'SALARY DETALES'!$B$2:$D$475,3,0)</f>
        <v>STAFF FOOD</v>
      </c>
    </row>
    <row r="61" spans="2:20" x14ac:dyDescent="0.3">
      <c r="B61" s="55">
        <v>59</v>
      </c>
      <c r="C61" s="55">
        <v>22102</v>
      </c>
      <c r="D61" t="s">
        <v>719</v>
      </c>
      <c r="E61" t="s">
        <v>1696</v>
      </c>
      <c r="F61" t="s">
        <v>738</v>
      </c>
      <c r="G61" s="55">
        <v>0</v>
      </c>
      <c r="H61" s="55" t="s">
        <v>1816</v>
      </c>
      <c r="I61" s="55">
        <v>16000</v>
      </c>
      <c r="J61" s="57">
        <f>VLOOKUP(C61,'SALARY DETALES'!$B$2:$S$475,18,0)</f>
        <v>24200</v>
      </c>
      <c r="K61" t="s">
        <v>685</v>
      </c>
      <c r="L61" s="60" t="str">
        <f>VLOOKUP(C61,'SALARY DETALES'!B60:C533,2,0)</f>
        <v>Tandoor Pickup</v>
      </c>
      <c r="M61" t="s">
        <v>721</v>
      </c>
      <c r="N61" t="s">
        <v>454</v>
      </c>
      <c r="O61" s="62" t="str">
        <f>VLOOKUP(C61,'SALARY DETALES'!$B$2:$D$475,3,0)</f>
        <v>ORDER PICKUP</v>
      </c>
    </row>
    <row r="62" spans="2:20" x14ac:dyDescent="0.3">
      <c r="B62" s="55">
        <v>60</v>
      </c>
      <c r="C62" s="55">
        <v>2026</v>
      </c>
      <c r="D62" t="s">
        <v>719</v>
      </c>
      <c r="E62" t="s">
        <v>1697</v>
      </c>
      <c r="F62" t="s">
        <v>802</v>
      </c>
      <c r="G62" s="55">
        <v>0</v>
      </c>
      <c r="H62" s="55" t="s">
        <v>1816</v>
      </c>
      <c r="I62" s="55">
        <v>25000</v>
      </c>
      <c r="J62" s="57">
        <f>VLOOKUP(C62,'SALARY DETALES'!$B$2:$S$475,18,0)</f>
        <v>27500</v>
      </c>
      <c r="K62" t="s">
        <v>103</v>
      </c>
      <c r="L62" s="60" t="e">
        <f>VLOOKUP(C62,'SALARY DETALES'!B61:C534,2,0)</f>
        <v>#N/A</v>
      </c>
      <c r="M62" t="s">
        <v>721</v>
      </c>
      <c r="N62" t="s">
        <v>104</v>
      </c>
      <c r="O62" s="62" t="str">
        <f>VLOOKUP(C62,'SALARY DETALES'!$B$2:$D$475,3,0)</f>
        <v>BBQ Helper</v>
      </c>
      <c r="T62" t="s">
        <v>732</v>
      </c>
    </row>
    <row r="63" spans="2:20" x14ac:dyDescent="0.3">
      <c r="B63" s="55">
        <v>61</v>
      </c>
      <c r="C63" s="55">
        <v>18009</v>
      </c>
      <c r="D63" t="s">
        <v>719</v>
      </c>
      <c r="E63" t="s">
        <v>1698</v>
      </c>
      <c r="F63" t="s">
        <v>746</v>
      </c>
      <c r="G63" s="55">
        <v>0</v>
      </c>
      <c r="H63" s="55" t="s">
        <v>1816</v>
      </c>
      <c r="I63" s="55">
        <v>13000</v>
      </c>
      <c r="J63" s="57">
        <f>VLOOKUP(C63,'SALARY DETALES'!$B$2:$S$475,18,0)</f>
        <v>17600</v>
      </c>
      <c r="K63" t="s">
        <v>80</v>
      </c>
      <c r="L63" s="60" t="e">
        <f>VLOOKUP(C63,'SALARY DETALES'!B62:C535,2,0)</f>
        <v>#N/A</v>
      </c>
      <c r="M63" t="s">
        <v>721</v>
      </c>
      <c r="N63" t="s">
        <v>83</v>
      </c>
      <c r="O63" s="62" t="str">
        <f>VLOOKUP(C63,'SALARY DETALES'!$B$2:$D$475,3,0)</f>
        <v>LAUNDRY</v>
      </c>
    </row>
    <row r="64" spans="2:20" x14ac:dyDescent="0.3">
      <c r="B64" s="55">
        <v>62</v>
      </c>
      <c r="C64" s="55">
        <v>32060</v>
      </c>
      <c r="D64" t="s">
        <v>719</v>
      </c>
      <c r="E64" t="s">
        <v>488</v>
      </c>
      <c r="F64" t="s">
        <v>803</v>
      </c>
      <c r="G64" s="55">
        <v>0</v>
      </c>
      <c r="H64" s="55" t="s">
        <v>1816</v>
      </c>
      <c r="I64" s="55">
        <v>16000</v>
      </c>
      <c r="J64" s="57">
        <f>VLOOKUP(C64,'SALARY DETALES'!$B$2:$S$475,18,0)</f>
        <v>25000</v>
      </c>
      <c r="K64" t="s">
        <v>481</v>
      </c>
      <c r="L64" s="60" t="str">
        <f>VLOOKUP(C64,'SALARY DETALES'!B63:C536,2,0)</f>
        <v>Section A #1</v>
      </c>
      <c r="M64" t="s">
        <v>721</v>
      </c>
      <c r="N64" t="s">
        <v>280</v>
      </c>
      <c r="O64" s="62" t="str">
        <f>VLOOKUP(C64,'SALARY DETALES'!$B$2:$D$475,3,0)</f>
        <v>OT</v>
      </c>
      <c r="Q64" t="s">
        <v>804</v>
      </c>
    </row>
    <row r="65" spans="2:20" x14ac:dyDescent="0.3">
      <c r="B65" s="55">
        <v>63</v>
      </c>
      <c r="C65" s="55">
        <v>33081</v>
      </c>
      <c r="D65" t="s">
        <v>719</v>
      </c>
      <c r="E65" t="s">
        <v>1699</v>
      </c>
      <c r="F65" t="s">
        <v>805</v>
      </c>
      <c r="G65" s="55">
        <v>0</v>
      </c>
      <c r="H65" s="55" t="s">
        <v>1816</v>
      </c>
      <c r="I65" s="55">
        <v>13000</v>
      </c>
      <c r="J65" s="57">
        <f>VLOOKUP(C65,'SALARY DETALES'!$B$2:$S$475,18,0)</f>
        <v>22000</v>
      </c>
      <c r="K65" t="s">
        <v>637</v>
      </c>
      <c r="L65" s="60" t="str">
        <f>VLOOKUP(C65,'SALARY DETALES'!B64:C537,2,0)</f>
        <v>Section F2</v>
      </c>
      <c r="M65" t="s">
        <v>721</v>
      </c>
      <c r="N65" t="s">
        <v>280</v>
      </c>
      <c r="O65" s="62" t="str">
        <f>VLOOKUP(C65,'SALARY DETALES'!$B$2:$D$475,3,0)</f>
        <v>OT</v>
      </c>
    </row>
    <row r="66" spans="2:20" x14ac:dyDescent="0.3">
      <c r="B66" s="55">
        <v>64</v>
      </c>
      <c r="C66" s="55">
        <v>28091</v>
      </c>
      <c r="D66" t="s">
        <v>741</v>
      </c>
      <c r="E66" t="s">
        <v>584</v>
      </c>
      <c r="F66" t="s">
        <v>806</v>
      </c>
      <c r="G66" s="55">
        <v>0</v>
      </c>
      <c r="H66" s="55" t="s">
        <v>1816</v>
      </c>
      <c r="I66" s="55">
        <v>13000</v>
      </c>
      <c r="J66" s="57">
        <f>VLOOKUP(C66,'SALARY DETALES'!$B$2:$S$475,18,0)</f>
        <v>25000</v>
      </c>
      <c r="K66" t="s">
        <v>580</v>
      </c>
      <c r="L66" s="60" t="str">
        <f>VLOOKUP(C66,'SALARY DETALES'!B65:C538,2,0)</f>
        <v>Section D #2</v>
      </c>
      <c r="M66" t="s">
        <v>721</v>
      </c>
      <c r="N66" t="s">
        <v>280</v>
      </c>
      <c r="O66" s="62" t="str">
        <f>VLOOKUP(C66,'SALARY DETALES'!$B$2:$D$475,3,0)</f>
        <v>OT</v>
      </c>
      <c r="P66" t="s">
        <v>807</v>
      </c>
      <c r="Q66" t="s">
        <v>808</v>
      </c>
      <c r="T66" t="s">
        <v>732</v>
      </c>
    </row>
    <row r="67" spans="2:20" x14ac:dyDescent="0.3">
      <c r="B67" s="55">
        <v>65</v>
      </c>
      <c r="C67" s="55">
        <v>2027</v>
      </c>
      <c r="D67" t="s">
        <v>719</v>
      </c>
      <c r="E67" t="s">
        <v>108</v>
      </c>
      <c r="F67" t="s">
        <v>809</v>
      </c>
      <c r="G67" s="55">
        <v>60</v>
      </c>
      <c r="H67" s="55" t="s">
        <v>1817</v>
      </c>
      <c r="I67" s="55">
        <v>35000</v>
      </c>
      <c r="J67" s="57">
        <f>VLOOKUP(C67,'SALARY DETALES'!$B$2:$S$475,18,0)</f>
        <v>44000</v>
      </c>
      <c r="K67" t="s">
        <v>103</v>
      </c>
      <c r="L67" s="60" t="e">
        <f>VLOOKUP(C67,'SALARY DETALES'!B66:C539,2,0)</f>
        <v>#N/A</v>
      </c>
      <c r="M67" t="s">
        <v>721</v>
      </c>
      <c r="N67" t="s">
        <v>107</v>
      </c>
      <c r="O67" s="62" t="str">
        <f>VLOOKUP(C67,'SALARY DETALES'!$B$2:$D$475,3,0)</f>
        <v>BBQ senior</v>
      </c>
    </row>
    <row r="68" spans="2:20" x14ac:dyDescent="0.3">
      <c r="B68" s="55">
        <v>66</v>
      </c>
      <c r="C68" s="55">
        <v>2028</v>
      </c>
      <c r="D68" t="s">
        <v>719</v>
      </c>
      <c r="E68" t="s">
        <v>109</v>
      </c>
      <c r="F68" t="s">
        <v>810</v>
      </c>
      <c r="G68" s="55">
        <v>0</v>
      </c>
      <c r="H68" s="55" t="s">
        <v>1816</v>
      </c>
      <c r="I68" s="55">
        <v>40000</v>
      </c>
      <c r="J68" s="57">
        <f>VLOOKUP(C68,'SALARY DETALES'!$B$2:$S$475,18,0)</f>
        <v>49500</v>
      </c>
      <c r="K68" t="s">
        <v>103</v>
      </c>
      <c r="L68" s="60" t="e">
        <f>VLOOKUP(C68,'SALARY DETALES'!B67:C540,2,0)</f>
        <v>#N/A</v>
      </c>
      <c r="M68" t="s">
        <v>721</v>
      </c>
      <c r="N68" t="s">
        <v>107</v>
      </c>
      <c r="O68" s="62" t="str">
        <f>VLOOKUP(C68,'SALARY DETALES'!$B$2:$D$475,3,0)</f>
        <v>BBQ senior</v>
      </c>
      <c r="P68" t="s">
        <v>811</v>
      </c>
      <c r="Q68" s="55">
        <v>3401736731</v>
      </c>
      <c r="R68" s="55">
        <v>3461747618</v>
      </c>
      <c r="S68" t="s">
        <v>812</v>
      </c>
    </row>
    <row r="69" spans="2:20" x14ac:dyDescent="0.3">
      <c r="B69" s="55">
        <v>67</v>
      </c>
      <c r="C69" s="55">
        <v>7007</v>
      </c>
      <c r="D69" t="s">
        <v>719</v>
      </c>
      <c r="E69" t="s">
        <v>674</v>
      </c>
      <c r="F69" t="s">
        <v>813</v>
      </c>
      <c r="G69" s="55">
        <v>0</v>
      </c>
      <c r="H69" s="55" t="s">
        <v>1816</v>
      </c>
      <c r="I69" s="55">
        <v>32000</v>
      </c>
      <c r="J69" s="57">
        <f>VLOOKUP(C69,'SALARY DETALES'!$B$2:$S$475,18,0)</f>
        <v>37200</v>
      </c>
      <c r="K69" t="s">
        <v>667</v>
      </c>
      <c r="L69" s="60" t="str">
        <f>VLOOKUP(C69,'SALARY DETALES'!B68:C541,2,0)</f>
        <v>Tandoor</v>
      </c>
      <c r="M69" t="s">
        <v>721</v>
      </c>
      <c r="N69" t="s">
        <v>673</v>
      </c>
      <c r="O69" s="62" t="str">
        <f>VLOOKUP(C69,'SALARY DETALES'!$B$2:$D$475,3,0)</f>
        <v>CHAPATI</v>
      </c>
    </row>
    <row r="70" spans="2:20" x14ac:dyDescent="0.3">
      <c r="B70" s="55">
        <v>68</v>
      </c>
      <c r="C70" s="55">
        <v>1020</v>
      </c>
      <c r="D70" t="s">
        <v>719</v>
      </c>
      <c r="E70" t="s">
        <v>1700</v>
      </c>
      <c r="F70" t="s">
        <v>814</v>
      </c>
      <c r="G70" s="55">
        <v>60</v>
      </c>
      <c r="H70" s="55" t="s">
        <v>1817</v>
      </c>
      <c r="I70" s="55">
        <v>38000</v>
      </c>
      <c r="J70" s="57">
        <f>VLOOKUP(C70,'SALARY DETALES'!$B$2:$S$475,18,0)</f>
        <v>47300</v>
      </c>
      <c r="K70" t="s">
        <v>80</v>
      </c>
      <c r="L70" s="60" t="e">
        <f>VLOOKUP(C70,'SALARY DETALES'!B69:C542,2,0)</f>
        <v>#N/A</v>
      </c>
      <c r="M70" t="s">
        <v>721</v>
      </c>
      <c r="N70" t="s">
        <v>81</v>
      </c>
      <c r="O70" s="62" t="str">
        <f>VLOOKUP(C70,'SALARY DETALES'!$B$2:$D$475,3,0)</f>
        <v>Assembler Incharge</v>
      </c>
      <c r="P70" t="s">
        <v>815</v>
      </c>
    </row>
    <row r="71" spans="2:20" x14ac:dyDescent="0.3">
      <c r="B71" s="55">
        <v>69</v>
      </c>
      <c r="C71" s="55">
        <v>22112</v>
      </c>
      <c r="D71" t="s">
        <v>719</v>
      </c>
      <c r="E71" t="s">
        <v>676</v>
      </c>
      <c r="F71" t="s">
        <v>816</v>
      </c>
      <c r="G71" s="55">
        <v>45</v>
      </c>
      <c r="H71" s="55" t="s">
        <v>1817</v>
      </c>
      <c r="I71" s="55">
        <v>13000</v>
      </c>
      <c r="J71" s="57">
        <f>VLOOKUP(C71,'SALARY DETALES'!$B$2:$S$475,18,0)</f>
        <v>25000</v>
      </c>
      <c r="K71" t="s">
        <v>667</v>
      </c>
      <c r="L71" s="60" t="str">
        <f>VLOOKUP(C71,'SALARY DETALES'!B70:C543,2,0)</f>
        <v>Tandoor</v>
      </c>
      <c r="M71" t="s">
        <v>721</v>
      </c>
      <c r="N71" t="s">
        <v>675</v>
      </c>
      <c r="O71" s="62" t="str">
        <f>VLOOKUP(C71,'SALARY DETALES'!$B$2:$D$475,3,0)</f>
        <v>Tandoor helper</v>
      </c>
    </row>
    <row r="72" spans="2:20" x14ac:dyDescent="0.3">
      <c r="B72" s="55">
        <v>70</v>
      </c>
      <c r="C72" s="55">
        <v>34007</v>
      </c>
      <c r="D72" t="s">
        <v>719</v>
      </c>
      <c r="E72" t="s">
        <v>1701</v>
      </c>
      <c r="F72" t="s">
        <v>817</v>
      </c>
      <c r="G72" s="55">
        <v>240</v>
      </c>
      <c r="H72" s="55" t="s">
        <v>1817</v>
      </c>
      <c r="I72" s="55">
        <v>45000</v>
      </c>
      <c r="J72" s="57">
        <f>VLOOKUP(C72,'SALARY DETALES'!$B$2:$S$475,18,0)</f>
        <v>45000</v>
      </c>
      <c r="K72" t="s">
        <v>368</v>
      </c>
      <c r="L72" s="60" t="str">
        <f>VLOOKUP(C72,'SALARY DETALES'!B71:C544,2,0)</f>
        <v>Maintenance</v>
      </c>
      <c r="M72" t="s">
        <v>721</v>
      </c>
      <c r="N72" t="s">
        <v>373</v>
      </c>
      <c r="O72" s="62" t="str">
        <f>VLOOKUP(C72,'SALARY DETALES'!$B$2:$D$475,3,0)</f>
        <v>CARPENTER</v>
      </c>
    </row>
    <row r="73" spans="2:20" x14ac:dyDescent="0.3">
      <c r="B73" s="55">
        <v>71</v>
      </c>
      <c r="C73" s="55">
        <v>30123</v>
      </c>
      <c r="D73" t="s">
        <v>719</v>
      </c>
      <c r="E73" t="s">
        <v>1702</v>
      </c>
      <c r="F73" t="s">
        <v>818</v>
      </c>
      <c r="G73" s="55">
        <v>0</v>
      </c>
      <c r="H73" s="55" t="s">
        <v>1816</v>
      </c>
      <c r="I73" s="55">
        <v>25000</v>
      </c>
      <c r="J73" s="57">
        <f>VLOOKUP(C73,'SALARY DETALES'!$B$2:$S$475,18,0)</f>
        <v>33000</v>
      </c>
      <c r="K73" t="s">
        <v>234</v>
      </c>
      <c r="L73" s="60" t="str">
        <f>VLOOKUP(C73,'SALARY DETALES'!B72:C545,2,0)</f>
        <v>Floor Management</v>
      </c>
      <c r="M73" t="s">
        <v>721</v>
      </c>
      <c r="N73" t="s">
        <v>238</v>
      </c>
      <c r="O73" s="62" t="str">
        <f>VLOOKUP(C73,'SALARY DETALES'!$B$2:$D$475,3,0)</f>
        <v>CAPTAIN</v>
      </c>
    </row>
    <row r="74" spans="2:20" x14ac:dyDescent="0.3">
      <c r="B74" s="55">
        <v>72</v>
      </c>
      <c r="C74" s="55">
        <v>33098</v>
      </c>
      <c r="D74" t="s">
        <v>719</v>
      </c>
      <c r="E74" t="s">
        <v>1703</v>
      </c>
      <c r="F74" t="s">
        <v>819</v>
      </c>
      <c r="G74" s="55">
        <v>0</v>
      </c>
      <c r="H74" s="55" t="s">
        <v>1816</v>
      </c>
      <c r="I74" s="55">
        <v>13000</v>
      </c>
      <c r="J74" s="57">
        <f>VLOOKUP(C74,'SALARY DETALES'!$B$2:$S$475,18,0)</f>
        <v>25000</v>
      </c>
      <c r="K74" t="s">
        <v>481</v>
      </c>
      <c r="L74" s="60" t="str">
        <f>VLOOKUP(C74,'SALARY DETALES'!B73:C546,2,0)</f>
        <v>Section A #1</v>
      </c>
      <c r="M74" t="s">
        <v>721</v>
      </c>
      <c r="N74" t="s">
        <v>280</v>
      </c>
      <c r="O74" s="62" t="str">
        <f>VLOOKUP(C74,'SALARY DETALES'!$B$2:$D$475,3,0)</f>
        <v>OT</v>
      </c>
    </row>
    <row r="75" spans="2:20" x14ac:dyDescent="0.3">
      <c r="B75" s="55">
        <v>73</v>
      </c>
      <c r="C75" s="55">
        <v>12045</v>
      </c>
      <c r="D75" t="s">
        <v>719</v>
      </c>
      <c r="E75" t="s">
        <v>1704</v>
      </c>
      <c r="F75" t="s">
        <v>820</v>
      </c>
      <c r="G75" s="55">
        <v>0</v>
      </c>
      <c r="H75" s="55" t="s">
        <v>1816</v>
      </c>
      <c r="I75" s="55">
        <v>20000</v>
      </c>
      <c r="J75" s="57">
        <f>VLOOKUP(C75,'SALARY DETALES'!$B$2:$S$475,18,0)</f>
        <v>32000</v>
      </c>
      <c r="K75" t="s">
        <v>103</v>
      </c>
      <c r="L75" s="60" t="e">
        <f>VLOOKUP(C75,'SALARY DETALES'!B74:C547,2,0)</f>
        <v>#N/A</v>
      </c>
      <c r="M75" t="s">
        <v>721</v>
      </c>
      <c r="N75" t="s">
        <v>104</v>
      </c>
      <c r="O75" s="62" t="str">
        <f>VLOOKUP(C75,'SALARY DETALES'!$B$2:$D$475,3,0)</f>
        <v>BBQ Helper</v>
      </c>
      <c r="T75" t="s">
        <v>745</v>
      </c>
    </row>
    <row r="76" spans="2:20" x14ac:dyDescent="0.3">
      <c r="B76" s="55">
        <v>74</v>
      </c>
      <c r="C76" s="55">
        <v>22131</v>
      </c>
      <c r="D76" t="s">
        <v>719</v>
      </c>
      <c r="E76" t="s">
        <v>1705</v>
      </c>
      <c r="F76" t="s">
        <v>821</v>
      </c>
      <c r="G76" s="55">
        <v>0</v>
      </c>
      <c r="H76" s="55" t="s">
        <v>1816</v>
      </c>
      <c r="I76" s="55">
        <v>13000</v>
      </c>
      <c r="J76" s="57">
        <f>VLOOKUP(C76,'SALARY DETALES'!$B$2:$S$475,18,0)</f>
        <v>30000</v>
      </c>
      <c r="K76" t="s">
        <v>103</v>
      </c>
      <c r="L76" s="60" t="e">
        <f>VLOOKUP(C76,'SALARY DETALES'!B75:C548,2,0)</f>
        <v>#N/A</v>
      </c>
      <c r="M76" t="s">
        <v>721</v>
      </c>
      <c r="N76" t="s">
        <v>104</v>
      </c>
      <c r="O76" s="62" t="str">
        <f>VLOOKUP(C76,'SALARY DETALES'!$B$2:$D$475,3,0)</f>
        <v>BBQ Helper</v>
      </c>
      <c r="T76" t="s">
        <v>745</v>
      </c>
    </row>
    <row r="77" spans="2:20" x14ac:dyDescent="0.3">
      <c r="B77" s="55">
        <v>75</v>
      </c>
      <c r="C77" s="55">
        <v>28049</v>
      </c>
      <c r="D77" t="s">
        <v>719</v>
      </c>
      <c r="E77" t="s">
        <v>1706</v>
      </c>
      <c r="F77" t="s">
        <v>822</v>
      </c>
      <c r="G77" s="55">
        <v>0</v>
      </c>
      <c r="H77" s="55" t="s">
        <v>1816</v>
      </c>
      <c r="I77" s="55">
        <v>18000</v>
      </c>
      <c r="J77" s="57">
        <f>VLOOKUP(C77,'SALARY DETALES'!$B$2:$S$475,18,0)</f>
        <v>27500</v>
      </c>
      <c r="K77" t="s">
        <v>567</v>
      </c>
      <c r="L77" s="60" t="str">
        <f>VLOOKUP(C77,'SALARY DETALES'!B76:C549,2,0)</f>
        <v>Section D #1</v>
      </c>
      <c r="M77" t="s">
        <v>721</v>
      </c>
      <c r="N77" t="s">
        <v>280</v>
      </c>
      <c r="O77" s="62" t="str">
        <f>VLOOKUP(C77,'SALARY DETALES'!$B$2:$D$475,3,0)</f>
        <v>OT</v>
      </c>
      <c r="T77" t="s">
        <v>783</v>
      </c>
    </row>
    <row r="78" spans="2:20" x14ac:dyDescent="0.3">
      <c r="B78" s="55">
        <v>76</v>
      </c>
      <c r="C78" s="55">
        <v>29131</v>
      </c>
      <c r="D78" t="s">
        <v>741</v>
      </c>
      <c r="E78" t="s">
        <v>533</v>
      </c>
      <c r="F78" t="s">
        <v>823</v>
      </c>
      <c r="G78" s="55">
        <v>0</v>
      </c>
      <c r="H78" s="55" t="s">
        <v>1816</v>
      </c>
      <c r="I78" s="55">
        <v>13000</v>
      </c>
      <c r="J78" s="57">
        <f>VLOOKUP(C78,'SALARY DETALES'!$B$2:$S$475,18,0)</f>
        <v>25000</v>
      </c>
      <c r="K78" t="s">
        <v>528</v>
      </c>
      <c r="L78" s="60" t="str">
        <f>VLOOKUP(C78,'SALARY DETALES'!B77:C550,2,0)</f>
        <v>Section B #1</v>
      </c>
      <c r="M78" t="s">
        <v>721</v>
      </c>
      <c r="N78" t="s">
        <v>280</v>
      </c>
      <c r="O78" s="62" t="str">
        <f>VLOOKUP(C78,'SALARY DETALES'!$B$2:$D$475,3,0)</f>
        <v>OT</v>
      </c>
      <c r="P78" t="s">
        <v>824</v>
      </c>
      <c r="Q78" t="s">
        <v>825</v>
      </c>
      <c r="T78" t="s">
        <v>783</v>
      </c>
    </row>
    <row r="79" spans="2:20" x14ac:dyDescent="0.3">
      <c r="B79" s="55">
        <v>77</v>
      </c>
      <c r="C79" s="55">
        <v>29133</v>
      </c>
      <c r="D79" t="s">
        <v>719</v>
      </c>
      <c r="E79" t="s">
        <v>1707</v>
      </c>
      <c r="F79" t="s">
        <v>826</v>
      </c>
      <c r="G79" s="55">
        <v>0</v>
      </c>
      <c r="H79" s="55" t="s">
        <v>1816</v>
      </c>
      <c r="I79" s="55">
        <v>14000</v>
      </c>
      <c r="J79" s="57">
        <f>VLOOKUP(C79,'SALARY DETALES'!$B$2:$S$475,18,0)</f>
        <v>18000</v>
      </c>
      <c r="K79" t="s">
        <v>567</v>
      </c>
      <c r="L79" s="60" t="str">
        <f>VLOOKUP(C79,'SALARY DETALES'!B78:C551,2,0)</f>
        <v>Section D #1</v>
      </c>
      <c r="M79" t="s">
        <v>721</v>
      </c>
      <c r="N79" t="s">
        <v>212</v>
      </c>
      <c r="O79" s="62" t="str">
        <f>VLOOKUP(C79,'SALARY DETALES'!$B$2:$D$475,3,0)</f>
        <v>BW</v>
      </c>
    </row>
    <row r="80" spans="2:20" x14ac:dyDescent="0.3">
      <c r="B80" s="55">
        <v>78</v>
      </c>
      <c r="C80" s="55">
        <v>30012</v>
      </c>
      <c r="D80" t="s">
        <v>719</v>
      </c>
      <c r="E80" t="s">
        <v>1708</v>
      </c>
      <c r="F80" t="s">
        <v>827</v>
      </c>
      <c r="G80" s="55">
        <v>0</v>
      </c>
      <c r="H80" s="55" t="s">
        <v>1816</v>
      </c>
      <c r="I80" s="55">
        <v>18000</v>
      </c>
      <c r="J80" s="57">
        <f>VLOOKUP(C80,'SALARY DETALES'!$B$2:$S$475,18,0)</f>
        <v>30000</v>
      </c>
      <c r="K80" t="s">
        <v>481</v>
      </c>
      <c r="L80" s="60" t="str">
        <f>VLOOKUP(C80,'SALARY DETALES'!B79:C552,2,0)</f>
        <v>Section A #1</v>
      </c>
      <c r="M80" t="s">
        <v>721</v>
      </c>
      <c r="N80" t="s">
        <v>280</v>
      </c>
      <c r="O80" s="62" t="str">
        <f>VLOOKUP(C80,'SALARY DETALES'!$B$2:$D$475,3,0)</f>
        <v>OT</v>
      </c>
    </row>
    <row r="81" spans="2:20" x14ac:dyDescent="0.3">
      <c r="B81" s="55">
        <v>79</v>
      </c>
      <c r="C81" s="55">
        <v>5025</v>
      </c>
      <c r="D81" t="s">
        <v>719</v>
      </c>
      <c r="E81" t="s">
        <v>143</v>
      </c>
      <c r="F81" t="s">
        <v>828</v>
      </c>
      <c r="G81" s="55">
        <v>0</v>
      </c>
      <c r="H81" s="55" t="s">
        <v>1817</v>
      </c>
      <c r="I81" s="55">
        <v>24000</v>
      </c>
      <c r="J81" s="57">
        <f>VLOOKUP(C81,'SALARY DETALES'!$B$2:$S$475,18,0)</f>
        <v>40000</v>
      </c>
      <c r="K81" t="s">
        <v>141</v>
      </c>
      <c r="L81" s="60" t="e">
        <f>VLOOKUP(C81,'SALARY DETALES'!B80:C553,2,0)</f>
        <v>#N/A</v>
      </c>
      <c r="M81" t="s">
        <v>721</v>
      </c>
      <c r="N81" t="s">
        <v>142</v>
      </c>
      <c r="O81" s="62" t="str">
        <f>VLOOKUP(C81,'SALARY DETALES'!$B$2:$D$475,3,0)</f>
        <v>CASHIER</v>
      </c>
    </row>
    <row r="82" spans="2:20" x14ac:dyDescent="0.3">
      <c r="B82" s="55">
        <v>80</v>
      </c>
      <c r="C82" s="55">
        <v>22510</v>
      </c>
      <c r="D82" t="s">
        <v>719</v>
      </c>
      <c r="E82" t="s">
        <v>1709</v>
      </c>
      <c r="F82" t="s">
        <v>829</v>
      </c>
      <c r="G82" s="55">
        <v>15</v>
      </c>
      <c r="H82" s="55" t="s">
        <v>1817</v>
      </c>
      <c r="I82" s="55">
        <v>13000</v>
      </c>
      <c r="J82" s="57">
        <f>VLOOKUP(C82,'SALARY DETALES'!$B$2:$S$475,18,0)</f>
        <v>17600</v>
      </c>
      <c r="K82" t="s">
        <v>453</v>
      </c>
      <c r="L82" s="60" t="str">
        <f>VLOOKUP(C82,'SALARY DETALES'!B81:C554,2,0)</f>
        <v>RUNNER 2</v>
      </c>
      <c r="M82" t="s">
        <v>721</v>
      </c>
      <c r="N82" t="s">
        <v>139</v>
      </c>
      <c r="O82" s="62" t="str">
        <f>VLOOKUP(C82,'SALARY DETALES'!$B$2:$D$475,3,0)</f>
        <v>Runner</v>
      </c>
    </row>
    <row r="83" spans="2:20" x14ac:dyDescent="0.3">
      <c r="B83" s="55">
        <v>81</v>
      </c>
      <c r="C83" s="55">
        <v>11011</v>
      </c>
      <c r="D83" t="s">
        <v>719</v>
      </c>
      <c r="E83" t="s">
        <v>430</v>
      </c>
      <c r="F83" t="s">
        <v>830</v>
      </c>
      <c r="G83" s="55">
        <v>0</v>
      </c>
      <c r="H83" s="55" t="s">
        <v>1817</v>
      </c>
      <c r="I83" s="55">
        <v>35000</v>
      </c>
      <c r="J83" s="57">
        <f>VLOOKUP(C83,'SALARY DETALES'!$B$2:$S$475,18,0)</f>
        <v>42350</v>
      </c>
      <c r="K83" t="s">
        <v>428</v>
      </c>
      <c r="L83" s="60" t="str">
        <f>VLOOKUP(C83,'SALARY DETALES'!B82:C555,2,0)</f>
        <v>PLAY LAND</v>
      </c>
      <c r="M83" t="s">
        <v>721</v>
      </c>
      <c r="N83" t="s">
        <v>429</v>
      </c>
      <c r="O83" s="62" t="str">
        <f>VLOOKUP(C83,'SALARY DETALES'!$B$2:$D$475,3,0)</f>
        <v>PLAY LAND (INCHARGE)</v>
      </c>
      <c r="P83" t="s">
        <v>831</v>
      </c>
      <c r="Q83" s="55">
        <v>3003169508</v>
      </c>
      <c r="S83" t="s">
        <v>832</v>
      </c>
      <c r="T83" t="s">
        <v>732</v>
      </c>
    </row>
    <row r="84" spans="2:20" x14ac:dyDescent="0.3">
      <c r="B84" s="55">
        <v>82</v>
      </c>
      <c r="C84" s="55">
        <v>34011</v>
      </c>
      <c r="D84" t="s">
        <v>719</v>
      </c>
      <c r="E84" t="s">
        <v>1710</v>
      </c>
      <c r="F84" t="s">
        <v>833</v>
      </c>
      <c r="G84" s="55">
        <v>240</v>
      </c>
      <c r="H84" s="55" t="s">
        <v>1817</v>
      </c>
      <c r="I84" s="55">
        <v>30000</v>
      </c>
      <c r="J84" s="57">
        <f>VLOOKUP(C84,'SALARY DETALES'!$B$2:$S$475,18,0)</f>
        <v>35000</v>
      </c>
      <c r="K84" t="s">
        <v>368</v>
      </c>
      <c r="L84" s="60" t="str">
        <f>VLOOKUP(C84,'SALARY DETALES'!B83:C556,2,0)</f>
        <v>Maintenance</v>
      </c>
      <c r="M84" t="s">
        <v>721</v>
      </c>
      <c r="N84" t="s">
        <v>375</v>
      </c>
      <c r="O84" s="62" t="str">
        <f>VLOOKUP(C84,'SALARY DETALES'!$B$2:$D$475,3,0)</f>
        <v>Welder</v>
      </c>
    </row>
    <row r="85" spans="2:20" x14ac:dyDescent="0.3">
      <c r="B85" s="55">
        <v>83</v>
      </c>
      <c r="C85" s="55">
        <v>29139</v>
      </c>
      <c r="D85" t="s">
        <v>719</v>
      </c>
      <c r="E85" t="s">
        <v>1711</v>
      </c>
      <c r="F85" t="s">
        <v>834</v>
      </c>
      <c r="G85" s="55">
        <v>0</v>
      </c>
      <c r="H85" s="55" t="s">
        <v>1816</v>
      </c>
      <c r="I85" s="55">
        <v>14000</v>
      </c>
      <c r="J85" s="57">
        <f>VLOOKUP(C85,'SALARY DETALES'!$B$2:$S$475,18,0)</f>
        <v>24000</v>
      </c>
      <c r="K85" t="s">
        <v>481</v>
      </c>
      <c r="L85" s="60" t="str">
        <f>VLOOKUP(C85,'SALARY DETALES'!B84:C557,2,0)</f>
        <v>Section A #1</v>
      </c>
      <c r="M85" t="s">
        <v>721</v>
      </c>
      <c r="N85" t="s">
        <v>212</v>
      </c>
      <c r="O85" s="62" t="str">
        <f>VLOOKUP(C85,'SALARY DETALES'!$B$2:$D$475,3,0)</f>
        <v>BW</v>
      </c>
    </row>
    <row r="86" spans="2:20" x14ac:dyDescent="0.3">
      <c r="B86" s="55">
        <v>84</v>
      </c>
      <c r="C86" s="55">
        <v>32089</v>
      </c>
      <c r="D86" t="s">
        <v>719</v>
      </c>
      <c r="E86" t="s">
        <v>492</v>
      </c>
      <c r="F86" t="s">
        <v>835</v>
      </c>
      <c r="G86" s="55">
        <v>0</v>
      </c>
      <c r="H86" s="55" t="s">
        <v>1816</v>
      </c>
      <c r="I86" s="55">
        <v>18000</v>
      </c>
      <c r="J86" s="57">
        <f>VLOOKUP(C86,'SALARY DETALES'!$B$2:$S$475,18,0)</f>
        <v>25000</v>
      </c>
      <c r="K86" t="s">
        <v>481</v>
      </c>
      <c r="L86" s="60" t="str">
        <f>VLOOKUP(C86,'SALARY DETALES'!B85:C558,2,0)</f>
        <v>Section A #1</v>
      </c>
      <c r="M86" t="s">
        <v>721</v>
      </c>
      <c r="N86" t="s">
        <v>280</v>
      </c>
      <c r="O86" s="62" t="str">
        <f>VLOOKUP(C86,'SALARY DETALES'!$B$2:$D$475,3,0)</f>
        <v>OT</v>
      </c>
    </row>
    <row r="87" spans="2:20" x14ac:dyDescent="0.3">
      <c r="B87" s="55">
        <v>85</v>
      </c>
      <c r="C87" s="55">
        <v>22148</v>
      </c>
      <c r="D87" t="s">
        <v>719</v>
      </c>
      <c r="E87" t="s">
        <v>554</v>
      </c>
      <c r="F87" t="s">
        <v>836</v>
      </c>
      <c r="G87" s="55">
        <v>45</v>
      </c>
      <c r="H87" s="55" t="s">
        <v>1817</v>
      </c>
      <c r="I87" s="55">
        <v>13000</v>
      </c>
      <c r="J87" s="57">
        <f>VLOOKUP(C87,'SALARY DETALES'!$B$2:$S$475,18,0)</f>
        <v>17600</v>
      </c>
      <c r="K87" t="s">
        <v>685</v>
      </c>
      <c r="L87" s="60" t="str">
        <f>VLOOKUP(C87,'SALARY DETALES'!B86:C559,2,0)</f>
        <v>Tandoor Pickup</v>
      </c>
      <c r="M87" t="s">
        <v>721</v>
      </c>
      <c r="N87" t="s">
        <v>685</v>
      </c>
      <c r="O87" s="62" t="str">
        <f>VLOOKUP(C87,'SALARY DETALES'!$B$2:$D$475,3,0)</f>
        <v>Tandoor Pickup</v>
      </c>
    </row>
    <row r="88" spans="2:20" x14ac:dyDescent="0.3">
      <c r="B88" s="55">
        <v>86</v>
      </c>
      <c r="C88" s="55">
        <v>22152</v>
      </c>
      <c r="D88" t="s">
        <v>719</v>
      </c>
      <c r="E88" t="s">
        <v>458</v>
      </c>
      <c r="F88" t="s">
        <v>837</v>
      </c>
      <c r="G88" s="55">
        <v>0</v>
      </c>
      <c r="H88" s="55" t="s">
        <v>1816</v>
      </c>
      <c r="I88" s="55">
        <v>13000</v>
      </c>
      <c r="J88" s="57">
        <f>VLOOKUP(C88,'SALARY DETALES'!$B$2:$S$475,18,0)</f>
        <v>19360</v>
      </c>
      <c r="K88" t="s">
        <v>453</v>
      </c>
      <c r="L88" s="60" t="str">
        <f>VLOOKUP(C88,'SALARY DETALES'!B87:C560,2,0)</f>
        <v>RUNNER 2</v>
      </c>
      <c r="M88" t="s">
        <v>721</v>
      </c>
      <c r="N88" t="s">
        <v>139</v>
      </c>
      <c r="O88" s="62" t="str">
        <f>VLOOKUP(C88,'SALARY DETALES'!$B$2:$D$475,3,0)</f>
        <v>Runner</v>
      </c>
    </row>
    <row r="89" spans="2:20" x14ac:dyDescent="0.3">
      <c r="B89" s="55">
        <v>87</v>
      </c>
      <c r="C89" s="55">
        <v>8027</v>
      </c>
      <c r="D89" t="s">
        <v>719</v>
      </c>
      <c r="E89" t="s">
        <v>1712</v>
      </c>
      <c r="F89" t="s">
        <v>838</v>
      </c>
      <c r="G89" s="55">
        <v>0</v>
      </c>
      <c r="H89" s="55" t="s">
        <v>1816</v>
      </c>
      <c r="I89" s="55">
        <v>22000</v>
      </c>
      <c r="J89" s="57">
        <f>VLOOKUP(C89,'SALARY DETALES'!$B$2:$S$475,18,0)</f>
        <v>60000</v>
      </c>
      <c r="K89" t="s">
        <v>159</v>
      </c>
      <c r="L89" s="60" t="e">
        <f>VLOOKUP(C89,'SALARY DETALES'!B88:C561,2,0)</f>
        <v>#N/A</v>
      </c>
      <c r="M89" t="s">
        <v>721</v>
      </c>
      <c r="N89" t="s">
        <v>160</v>
      </c>
      <c r="O89" s="62" t="str">
        <f>VLOOKUP(C89,'SALARY DETALES'!$B$2:$D$475,3,0)</f>
        <v>Chinese Chef</v>
      </c>
      <c r="P89" t="s">
        <v>839</v>
      </c>
      <c r="Q89" s="55">
        <v>3470006858</v>
      </c>
      <c r="R89" s="55">
        <v>3492387426</v>
      </c>
      <c r="S89" t="s">
        <v>840</v>
      </c>
    </row>
    <row r="90" spans="2:20" x14ac:dyDescent="0.3">
      <c r="B90" s="55">
        <v>88</v>
      </c>
      <c r="C90" s="55">
        <v>5028</v>
      </c>
      <c r="D90" t="s">
        <v>719</v>
      </c>
      <c r="E90" t="s">
        <v>1713</v>
      </c>
      <c r="F90" t="s">
        <v>841</v>
      </c>
      <c r="G90" s="55">
        <v>0</v>
      </c>
      <c r="H90" s="55" t="s">
        <v>1817</v>
      </c>
      <c r="I90" s="55">
        <v>24000</v>
      </c>
      <c r="J90" s="57">
        <f>VLOOKUP(C90,'SALARY DETALES'!$B$2:$S$475,18,0)</f>
        <v>36300</v>
      </c>
      <c r="K90" t="s">
        <v>141</v>
      </c>
      <c r="L90" s="60" t="e">
        <f>VLOOKUP(C90,'SALARY DETALES'!B89:C562,2,0)</f>
        <v>#N/A</v>
      </c>
      <c r="M90" t="s">
        <v>721</v>
      </c>
      <c r="N90" t="s">
        <v>142</v>
      </c>
      <c r="O90" s="62" t="str">
        <f>VLOOKUP(C90,'SALARY DETALES'!$B$2:$D$475,3,0)</f>
        <v>CASHIER</v>
      </c>
      <c r="P90" t="s">
        <v>842</v>
      </c>
      <c r="Q90" s="55">
        <v>3181232174</v>
      </c>
      <c r="R90" s="55">
        <v>3112741517</v>
      </c>
      <c r="S90" t="s">
        <v>843</v>
      </c>
    </row>
    <row r="91" spans="2:20" x14ac:dyDescent="0.3">
      <c r="B91" s="55">
        <v>89</v>
      </c>
      <c r="C91" s="55">
        <v>22163</v>
      </c>
      <c r="D91" t="s">
        <v>719</v>
      </c>
      <c r="E91" t="s">
        <v>204</v>
      </c>
      <c r="F91" t="s">
        <v>844</v>
      </c>
      <c r="G91" s="55">
        <v>60</v>
      </c>
      <c r="H91" s="55" t="s">
        <v>1817</v>
      </c>
      <c r="I91" s="55">
        <v>13000</v>
      </c>
      <c r="J91" s="57">
        <f>VLOOKUP(C91,'SALARY DETALES'!$B$2:$S$475,18,0)</f>
        <v>27500</v>
      </c>
      <c r="K91" t="s">
        <v>202</v>
      </c>
      <c r="L91" s="60" t="str">
        <f>VLOOKUP(C91,'SALARY DETALES'!B90:C563,2,0)</f>
        <v>Events</v>
      </c>
      <c r="M91" t="s">
        <v>721</v>
      </c>
      <c r="N91" t="s">
        <v>203</v>
      </c>
      <c r="O91" s="62" t="str">
        <f>VLOOKUP(C91,'SALARY DETALES'!$B$2:$D$475,3,0)</f>
        <v>Event Helper</v>
      </c>
    </row>
    <row r="92" spans="2:20" x14ac:dyDescent="0.3">
      <c r="B92" s="55">
        <v>90</v>
      </c>
      <c r="C92" s="55">
        <v>25016</v>
      </c>
      <c r="D92" t="s">
        <v>719</v>
      </c>
      <c r="E92" t="s">
        <v>63</v>
      </c>
      <c r="F92" t="s">
        <v>845</v>
      </c>
      <c r="G92" s="55">
        <v>150</v>
      </c>
      <c r="H92" s="55" t="s">
        <v>1817</v>
      </c>
      <c r="I92" s="55">
        <v>75000</v>
      </c>
      <c r="J92" s="57">
        <f>VLOOKUP(C92,'SALARY DETALES'!$B$2:$S$475,18,0)</f>
        <v>175000</v>
      </c>
      <c r="K92" t="s">
        <v>59</v>
      </c>
      <c r="L92" s="60" t="e">
        <f>VLOOKUP(C92,'SALARY DETALES'!B91:C564,2,0)</f>
        <v>#N/A</v>
      </c>
      <c r="M92" t="s">
        <v>721</v>
      </c>
      <c r="N92" t="s">
        <v>62</v>
      </c>
      <c r="O92" s="62" t="str">
        <f>VLOOKUP(C92,'SALARY DETALES'!$B$2:$D$475,3,0)</f>
        <v>OPERATION MANAGER</v>
      </c>
      <c r="P92" t="s">
        <v>846</v>
      </c>
      <c r="Q92" s="55">
        <v>32122966629</v>
      </c>
      <c r="R92" s="55">
        <v>3232829982</v>
      </c>
      <c r="S92" t="s">
        <v>847</v>
      </c>
      <c r="T92" t="s">
        <v>848</v>
      </c>
    </row>
    <row r="93" spans="2:20" x14ac:dyDescent="0.3">
      <c r="B93" s="55">
        <v>91</v>
      </c>
      <c r="C93" s="55">
        <v>22177</v>
      </c>
      <c r="D93" t="s">
        <v>719</v>
      </c>
      <c r="E93" t="s">
        <v>693</v>
      </c>
      <c r="F93" t="s">
        <v>849</v>
      </c>
      <c r="G93" s="55">
        <v>45</v>
      </c>
      <c r="H93" s="55" t="s">
        <v>1817</v>
      </c>
      <c r="I93" s="55">
        <v>13000</v>
      </c>
      <c r="J93" s="57">
        <f>VLOOKUP(C93,'SALARY DETALES'!$B$2:$S$475,18,0)</f>
        <v>19800</v>
      </c>
      <c r="K93" t="s">
        <v>685</v>
      </c>
      <c r="L93" s="60" t="str">
        <f>VLOOKUP(C93,'SALARY DETALES'!B92:C565,2,0)</f>
        <v>Tandoor Pickup</v>
      </c>
      <c r="M93" t="s">
        <v>721</v>
      </c>
      <c r="N93" t="s">
        <v>692</v>
      </c>
      <c r="O93" s="62" t="str">
        <f>VLOOKUP(C93,'SALARY DETALES'!$B$2:$D$475,3,0)</f>
        <v>TAKE AWAY ORDER PICKUP</v>
      </c>
      <c r="P93" t="s">
        <v>850</v>
      </c>
    </row>
    <row r="94" spans="2:20" x14ac:dyDescent="0.3">
      <c r="B94" s="55">
        <v>92</v>
      </c>
      <c r="C94" s="55">
        <v>13036</v>
      </c>
      <c r="D94" t="s">
        <v>719</v>
      </c>
      <c r="E94" t="s">
        <v>242</v>
      </c>
      <c r="F94" t="s">
        <v>851</v>
      </c>
      <c r="G94" s="55">
        <v>0</v>
      </c>
      <c r="H94" s="55" t="s">
        <v>1816</v>
      </c>
      <c r="I94" s="55">
        <v>13000</v>
      </c>
      <c r="J94" s="57">
        <f>VLOOKUP(C94,'SALARY DETALES'!$B$2:$S$475,18,0)</f>
        <v>30250</v>
      </c>
      <c r="K94" t="s">
        <v>667</v>
      </c>
      <c r="L94" s="60" t="str">
        <f>VLOOKUP(C94,'SALARY DETALES'!B93:C566,2,0)</f>
        <v>Tandoor</v>
      </c>
      <c r="M94" t="s">
        <v>721</v>
      </c>
      <c r="N94" t="s">
        <v>677</v>
      </c>
      <c r="O94" s="62" t="str">
        <f>VLOOKUP(C94,'SALARY DETALES'!$B$2:$D$475,3,0)</f>
        <v>Tandoor Helper</v>
      </c>
      <c r="T94" t="s">
        <v>852</v>
      </c>
    </row>
    <row r="95" spans="2:20" x14ac:dyDescent="0.3">
      <c r="B95" s="55">
        <v>93</v>
      </c>
      <c r="C95" s="55">
        <v>1024</v>
      </c>
      <c r="D95" t="s">
        <v>719</v>
      </c>
      <c r="E95" t="s">
        <v>1714</v>
      </c>
      <c r="F95" t="s">
        <v>726</v>
      </c>
      <c r="G95" s="55">
        <v>45</v>
      </c>
      <c r="H95" s="55" t="s">
        <v>1817</v>
      </c>
      <c r="I95" s="55">
        <v>25000</v>
      </c>
      <c r="J95" s="57">
        <f>VLOOKUP(C95,'SALARY DETALES'!$B$2:$S$475,18,0)</f>
        <v>33000</v>
      </c>
      <c r="K95" t="s">
        <v>685</v>
      </c>
      <c r="L95" s="60" t="str">
        <f>VLOOKUP(C95,'SALARY DETALES'!B94:C567,2,0)</f>
        <v>Tandoor Pickup</v>
      </c>
      <c r="M95" t="s">
        <v>721</v>
      </c>
      <c r="N95" t="s">
        <v>454</v>
      </c>
      <c r="O95" s="62" t="str">
        <f>VLOOKUP(C95,'SALARY DETALES'!$B$2:$D$475,3,0)</f>
        <v>ORDER PICKUP</v>
      </c>
    </row>
    <row r="96" spans="2:20" x14ac:dyDescent="0.3">
      <c r="B96" s="55">
        <v>94</v>
      </c>
      <c r="C96" s="55">
        <v>80320</v>
      </c>
      <c r="D96" t="s">
        <v>719</v>
      </c>
      <c r="E96" t="s">
        <v>164</v>
      </c>
      <c r="F96" t="s">
        <v>853</v>
      </c>
      <c r="G96" s="55">
        <v>0</v>
      </c>
      <c r="H96" s="55" t="s">
        <v>1816</v>
      </c>
      <c r="I96" s="55">
        <v>20000</v>
      </c>
      <c r="J96" s="57">
        <f>VLOOKUP(C96,'SALARY DETALES'!$B$2:$S$475,18,0)</f>
        <v>25000</v>
      </c>
      <c r="K96" t="s">
        <v>159</v>
      </c>
      <c r="L96" s="60" t="e">
        <f>VLOOKUP(C96,'SALARY DETALES'!B95:C568,2,0)</f>
        <v>#N/A</v>
      </c>
      <c r="M96" t="s">
        <v>721</v>
      </c>
      <c r="N96" t="s">
        <v>163</v>
      </c>
      <c r="O96" s="62" t="str">
        <f>VLOOKUP(C96,'SALARY DETALES'!$B$2:$D$475,3,0)</f>
        <v>Chinese Helper</v>
      </c>
      <c r="P96" t="s">
        <v>854</v>
      </c>
      <c r="Q96" t="s">
        <v>855</v>
      </c>
    </row>
    <row r="97" spans="2:20" x14ac:dyDescent="0.3">
      <c r="B97" s="55">
        <v>95</v>
      </c>
      <c r="C97" s="55">
        <v>29148</v>
      </c>
      <c r="D97" t="s">
        <v>719</v>
      </c>
      <c r="E97" t="s">
        <v>65</v>
      </c>
      <c r="F97" t="s">
        <v>856</v>
      </c>
      <c r="G97" s="55">
        <v>180</v>
      </c>
      <c r="H97" s="55" t="s">
        <v>1817</v>
      </c>
      <c r="I97" s="55">
        <v>40000</v>
      </c>
      <c r="J97" s="57">
        <f>VLOOKUP(C97,'SALARY DETALES'!$B$2:$S$475,18,0)</f>
        <v>60000</v>
      </c>
      <c r="K97" t="s">
        <v>59</v>
      </c>
      <c r="L97" s="60" t="e">
        <f>VLOOKUP(C97,'SALARY DETALES'!B96:C569,2,0)</f>
        <v>#N/A</v>
      </c>
      <c r="M97" t="s">
        <v>721</v>
      </c>
      <c r="N97" t="s">
        <v>64</v>
      </c>
      <c r="O97" s="62" t="str">
        <f>VLOOKUP(C97,'SALARY DETALES'!$B$2:$D$475,3,0)</f>
        <v>CHEF</v>
      </c>
    </row>
    <row r="98" spans="2:20" x14ac:dyDescent="0.3">
      <c r="B98" s="55">
        <v>96</v>
      </c>
      <c r="C98" s="55">
        <v>33132</v>
      </c>
      <c r="D98" t="s">
        <v>719</v>
      </c>
      <c r="E98" t="s">
        <v>574</v>
      </c>
      <c r="F98" t="s">
        <v>857</v>
      </c>
      <c r="G98" s="55">
        <v>0</v>
      </c>
      <c r="H98" s="55" t="s">
        <v>1816</v>
      </c>
      <c r="I98" s="55">
        <v>14000</v>
      </c>
      <c r="J98" s="57">
        <f>VLOOKUP(C98,'SALARY DETALES'!$B$2:$S$475,18,0)</f>
        <v>25000</v>
      </c>
      <c r="K98" t="s">
        <v>567</v>
      </c>
      <c r="L98" s="60" t="str">
        <f>VLOOKUP(C98,'SALARY DETALES'!B97:C570,2,0)</f>
        <v>Section D #1</v>
      </c>
      <c r="M98" t="s">
        <v>721</v>
      </c>
      <c r="N98" t="s">
        <v>280</v>
      </c>
      <c r="O98" s="62" t="str">
        <f>VLOOKUP(C98,'SALARY DETALES'!$B$2:$D$475,3,0)</f>
        <v>OT</v>
      </c>
    </row>
    <row r="99" spans="2:20" x14ac:dyDescent="0.3">
      <c r="B99" s="55">
        <v>97</v>
      </c>
      <c r="C99" s="55">
        <v>2038</v>
      </c>
      <c r="D99" t="s">
        <v>741</v>
      </c>
      <c r="E99" t="s">
        <v>112</v>
      </c>
      <c r="F99" t="s">
        <v>858</v>
      </c>
      <c r="G99" s="55">
        <v>0</v>
      </c>
      <c r="H99" s="55" t="s">
        <v>1816</v>
      </c>
      <c r="I99" s="55">
        <v>20000</v>
      </c>
      <c r="J99" s="57">
        <f>VLOOKUP(C99,'SALARY DETALES'!$B$2:$S$475,18,0)</f>
        <v>25000</v>
      </c>
      <c r="K99" t="s">
        <v>103</v>
      </c>
      <c r="L99" s="60" t="e">
        <f>VLOOKUP(C99,'SALARY DETALES'!B98:C571,2,0)</f>
        <v>#N/A</v>
      </c>
      <c r="M99" t="s">
        <v>721</v>
      </c>
      <c r="N99" t="s">
        <v>104</v>
      </c>
      <c r="O99" s="62" t="str">
        <f>VLOOKUP(C99,'SALARY DETALES'!$B$2:$D$475,3,0)</f>
        <v>BBQ Helper</v>
      </c>
      <c r="P99" t="s">
        <v>811</v>
      </c>
      <c r="Q99" s="55">
        <v>3464087550</v>
      </c>
      <c r="S99" t="s">
        <v>859</v>
      </c>
    </row>
    <row r="100" spans="2:20" x14ac:dyDescent="0.3">
      <c r="B100" s="55">
        <v>98</v>
      </c>
      <c r="C100" s="55">
        <v>32103</v>
      </c>
      <c r="D100" t="s">
        <v>719</v>
      </c>
      <c r="E100" t="s">
        <v>530</v>
      </c>
      <c r="F100" t="s">
        <v>860</v>
      </c>
      <c r="G100" s="55">
        <v>0</v>
      </c>
      <c r="H100" s="55" t="s">
        <v>1816</v>
      </c>
      <c r="I100" s="55">
        <v>14000</v>
      </c>
      <c r="J100" s="57">
        <f>VLOOKUP(C100,'SALARY DETALES'!$B$2:$S$475,18,0)</f>
        <v>25000</v>
      </c>
      <c r="K100" t="s">
        <v>528</v>
      </c>
      <c r="L100" s="60" t="str">
        <f>VLOOKUP(C100,'SALARY DETALES'!B99:C572,2,0)</f>
        <v>Section B #1</v>
      </c>
      <c r="M100" t="s">
        <v>721</v>
      </c>
      <c r="N100" t="s">
        <v>419</v>
      </c>
      <c r="O100" s="62" t="str">
        <f>VLOOKUP(C100,'SALARY DETALES'!$B$2:$D$475,3,0)</f>
        <v>O/T</v>
      </c>
    </row>
    <row r="101" spans="2:20" x14ac:dyDescent="0.3">
      <c r="B101" s="55">
        <v>99</v>
      </c>
      <c r="C101" s="55">
        <v>33134</v>
      </c>
      <c r="D101" t="s">
        <v>719</v>
      </c>
      <c r="E101" t="s">
        <v>250</v>
      </c>
      <c r="F101" t="s">
        <v>861</v>
      </c>
      <c r="G101" s="55">
        <v>0</v>
      </c>
      <c r="H101" s="55" t="s">
        <v>1816</v>
      </c>
      <c r="I101" s="55">
        <v>25000</v>
      </c>
      <c r="J101" s="57">
        <f>VLOOKUP(C101,'SALARY DETALES'!$B$2:$S$475,18,0)</f>
        <v>60000</v>
      </c>
      <c r="K101" t="s">
        <v>234</v>
      </c>
      <c r="L101" s="60" t="str">
        <f>VLOOKUP(C101,'SALARY DETALES'!B100:C573,2,0)</f>
        <v>Floor Management</v>
      </c>
      <c r="M101" t="s">
        <v>721</v>
      </c>
      <c r="N101" t="s">
        <v>235</v>
      </c>
      <c r="O101" s="62" t="str">
        <f>VLOOKUP(C101,'SALARY DETALES'!$B$2:$D$475,3,0)</f>
        <v>MANAGER</v>
      </c>
    </row>
    <row r="102" spans="2:20" x14ac:dyDescent="0.3">
      <c r="B102" s="55">
        <v>100</v>
      </c>
      <c r="C102" s="55">
        <v>32107</v>
      </c>
      <c r="D102" t="s">
        <v>719</v>
      </c>
      <c r="E102" t="s">
        <v>1715</v>
      </c>
      <c r="F102" t="s">
        <v>820</v>
      </c>
      <c r="G102" s="55">
        <v>0</v>
      </c>
      <c r="H102" s="55" t="s">
        <v>1816</v>
      </c>
      <c r="I102" s="55">
        <v>13000</v>
      </c>
      <c r="J102" s="57">
        <f>VLOOKUP(C102,'SALARY DETALES'!$B$2:$S$475,18,0)</f>
        <v>25000</v>
      </c>
      <c r="K102" t="s">
        <v>567</v>
      </c>
      <c r="L102" s="60" t="str">
        <f>VLOOKUP(C102,'SALARY DETALES'!B101:C574,2,0)</f>
        <v>Section D #1</v>
      </c>
      <c r="M102" t="s">
        <v>721</v>
      </c>
      <c r="N102" t="s">
        <v>280</v>
      </c>
      <c r="O102" s="62" t="str">
        <f>VLOOKUP(C102,'SALARY DETALES'!$B$2:$D$475,3,0)</f>
        <v>OT</v>
      </c>
    </row>
    <row r="103" spans="2:20" x14ac:dyDescent="0.3">
      <c r="B103" s="55">
        <v>101</v>
      </c>
      <c r="C103" s="55">
        <v>5039</v>
      </c>
      <c r="D103" t="s">
        <v>719</v>
      </c>
      <c r="E103" t="s">
        <v>145</v>
      </c>
      <c r="F103" t="s">
        <v>862</v>
      </c>
      <c r="G103" s="55">
        <v>30</v>
      </c>
      <c r="H103" s="55" t="s">
        <v>1817</v>
      </c>
      <c r="I103" s="55">
        <v>24000</v>
      </c>
      <c r="J103" s="57">
        <f>VLOOKUP(C103,'SALARY DETALES'!$B$2:$S$475,18,0)</f>
        <v>29040</v>
      </c>
      <c r="K103" t="s">
        <v>141</v>
      </c>
      <c r="L103" s="60" t="e">
        <f>VLOOKUP(C103,'SALARY DETALES'!B102:C575,2,0)</f>
        <v>#N/A</v>
      </c>
      <c r="M103" t="s">
        <v>721</v>
      </c>
      <c r="N103" t="s">
        <v>142</v>
      </c>
      <c r="O103" s="62" t="str">
        <f>VLOOKUP(C103,'SALARY DETALES'!$B$2:$D$475,3,0)</f>
        <v>CASHIER</v>
      </c>
      <c r="P103" t="s">
        <v>863</v>
      </c>
      <c r="Q103" s="55">
        <v>3322185198</v>
      </c>
      <c r="R103" s="55">
        <v>3142968680</v>
      </c>
      <c r="S103" t="s">
        <v>864</v>
      </c>
    </row>
    <row r="104" spans="2:20" x14ac:dyDescent="0.3">
      <c r="B104" s="55">
        <v>102</v>
      </c>
      <c r="C104" s="55">
        <v>5038</v>
      </c>
      <c r="D104" t="s">
        <v>719</v>
      </c>
      <c r="E104" t="s">
        <v>432</v>
      </c>
      <c r="F104" t="s">
        <v>865</v>
      </c>
      <c r="G104" s="55">
        <v>60</v>
      </c>
      <c r="H104" s="55" t="s">
        <v>1817</v>
      </c>
      <c r="I104" s="55">
        <v>24000</v>
      </c>
      <c r="J104" s="57">
        <f>VLOOKUP(C104,'SALARY DETALES'!$B$2:$S$475,18,0)</f>
        <v>29040</v>
      </c>
      <c r="K104" t="s">
        <v>428</v>
      </c>
      <c r="L104" s="60" t="str">
        <f>VLOOKUP(C104,'SALARY DETALES'!B103:C576,2,0)</f>
        <v>PLAY LAND</v>
      </c>
      <c r="M104" t="s">
        <v>721</v>
      </c>
      <c r="N104" t="s">
        <v>431</v>
      </c>
      <c r="O104" s="62" t="str">
        <f>VLOOKUP(C104,'SALARY DETALES'!$B$2:$D$475,3,0)</f>
        <v>CASHIER PlayLand</v>
      </c>
      <c r="P104" t="s">
        <v>866</v>
      </c>
      <c r="Q104" s="55">
        <v>3363951418</v>
      </c>
      <c r="R104" s="55">
        <v>3142285663</v>
      </c>
      <c r="S104" t="s">
        <v>867</v>
      </c>
    </row>
    <row r="105" spans="2:20" x14ac:dyDescent="0.3">
      <c r="B105" s="55">
        <v>103</v>
      </c>
      <c r="C105" s="55">
        <v>32057</v>
      </c>
      <c r="D105" t="s">
        <v>719</v>
      </c>
      <c r="E105" t="s">
        <v>1716</v>
      </c>
      <c r="F105" t="s">
        <v>813</v>
      </c>
      <c r="G105" s="55">
        <v>0</v>
      </c>
      <c r="H105" s="55" t="s">
        <v>1816</v>
      </c>
      <c r="I105" s="55">
        <v>18000</v>
      </c>
      <c r="J105" s="57">
        <f>VLOOKUP(C105,'SALARY DETALES'!$B$2:$S$475,18,0)</f>
        <v>25000</v>
      </c>
      <c r="K105" t="s">
        <v>621</v>
      </c>
      <c r="L105" s="60" t="str">
        <f>VLOOKUP(C105,'SALARY DETALES'!B104:C577,2,0)</f>
        <v>Section F</v>
      </c>
      <c r="M105" t="s">
        <v>721</v>
      </c>
      <c r="N105" t="s">
        <v>624</v>
      </c>
      <c r="O105" s="62" t="str">
        <f>VLOOKUP(C105,'SALARY DETALES'!$B$2:$D$475,3,0)</f>
        <v>OT/F</v>
      </c>
    </row>
    <row r="106" spans="2:20" x14ac:dyDescent="0.3">
      <c r="B106" s="55">
        <v>104</v>
      </c>
      <c r="C106" s="55">
        <v>28061</v>
      </c>
      <c r="D106" t="s">
        <v>719</v>
      </c>
      <c r="E106" t="s">
        <v>483</v>
      </c>
      <c r="F106" t="s">
        <v>835</v>
      </c>
      <c r="G106" s="55">
        <v>0</v>
      </c>
      <c r="H106" s="55" t="s">
        <v>1816</v>
      </c>
      <c r="I106" s="55">
        <v>14000</v>
      </c>
      <c r="J106" s="57">
        <f>VLOOKUP(C106,'SALARY DETALES'!$B$2:$S$475,18,0)</f>
        <v>18000</v>
      </c>
      <c r="K106" t="s">
        <v>481</v>
      </c>
      <c r="L106" s="60" t="str">
        <f>VLOOKUP(C106,'SALARY DETALES'!B105:C578,2,0)</f>
        <v>Section A #1</v>
      </c>
      <c r="M106" t="s">
        <v>721</v>
      </c>
      <c r="N106" t="s">
        <v>482</v>
      </c>
      <c r="O106" s="62" t="str">
        <f>VLOOKUP(C106,'SALARY DETALES'!$B$2:$D$475,3,0)</f>
        <v>BST</v>
      </c>
    </row>
    <row r="107" spans="2:20" x14ac:dyDescent="0.3">
      <c r="B107" s="55">
        <v>105</v>
      </c>
      <c r="C107" s="55">
        <v>28100</v>
      </c>
      <c r="D107" t="s">
        <v>719</v>
      </c>
      <c r="E107" t="s">
        <v>534</v>
      </c>
      <c r="F107" t="s">
        <v>868</v>
      </c>
      <c r="G107" s="55">
        <v>0</v>
      </c>
      <c r="H107" s="55" t="s">
        <v>1816</v>
      </c>
      <c r="I107" s="55">
        <v>14000</v>
      </c>
      <c r="J107" s="57">
        <f>VLOOKUP(C107,'SALARY DETALES'!$B$2:$S$475,18,0)</f>
        <v>16000</v>
      </c>
      <c r="K107" t="s">
        <v>528</v>
      </c>
      <c r="L107" s="60" t="str">
        <f>VLOOKUP(C107,'SALARY DETALES'!B106:C579,2,0)</f>
        <v>Section B #1</v>
      </c>
      <c r="M107" t="s">
        <v>721</v>
      </c>
      <c r="N107" t="s">
        <v>482</v>
      </c>
      <c r="O107" s="62" t="str">
        <f>VLOOKUP(C107,'SALARY DETALES'!$B$2:$D$475,3,0)</f>
        <v>BST</v>
      </c>
      <c r="P107" s="55">
        <v>412027581635</v>
      </c>
      <c r="Q107" t="s">
        <v>869</v>
      </c>
      <c r="T107" t="s">
        <v>870</v>
      </c>
    </row>
    <row r="108" spans="2:20" x14ac:dyDescent="0.3">
      <c r="B108" s="55">
        <v>106</v>
      </c>
      <c r="C108" s="55">
        <v>29135</v>
      </c>
      <c r="D108" t="s">
        <v>741</v>
      </c>
      <c r="E108" t="s">
        <v>1717</v>
      </c>
      <c r="F108" t="s">
        <v>837</v>
      </c>
      <c r="G108" s="55">
        <v>405</v>
      </c>
      <c r="H108" s="55" t="s">
        <v>1817</v>
      </c>
      <c r="I108" s="55">
        <v>13000</v>
      </c>
      <c r="J108" s="57">
        <f>VLOOKUP(C108,'SALARY DETALES'!$B$2:$S$475,18,0)</f>
        <v>24000</v>
      </c>
      <c r="K108" t="s">
        <v>286</v>
      </c>
      <c r="L108" s="60" t="str">
        <f>VLOOKUP(C108,'SALARY DETALES'!B107:C580,2,0)</f>
        <v>GRO</v>
      </c>
      <c r="M108" t="s">
        <v>721</v>
      </c>
      <c r="N108" t="s">
        <v>295</v>
      </c>
      <c r="O108" s="62" t="str">
        <f>VLOOKUP(C108,'SALARY DETALES'!$B$2:$D$475,3,0)</f>
        <v>WHEEL CHAIR</v>
      </c>
    </row>
    <row r="109" spans="2:20" x14ac:dyDescent="0.3">
      <c r="B109" s="55">
        <v>107</v>
      </c>
      <c r="C109" s="55">
        <v>29078</v>
      </c>
      <c r="D109" t="s">
        <v>719</v>
      </c>
      <c r="E109" t="s">
        <v>622</v>
      </c>
      <c r="F109" t="s">
        <v>871</v>
      </c>
      <c r="G109" s="55">
        <v>0</v>
      </c>
      <c r="H109" s="55" t="s">
        <v>1816</v>
      </c>
      <c r="J109" s="57">
        <f>VLOOKUP(C109,'SALARY DETALES'!$B$2:$S$475,18,0)</f>
        <v>25000</v>
      </c>
      <c r="K109" t="s">
        <v>621</v>
      </c>
      <c r="L109" s="60" t="str">
        <f>VLOOKUP(C109,'SALARY DETALES'!B108:C581,2,0)</f>
        <v>Section F</v>
      </c>
      <c r="M109" t="s">
        <v>721</v>
      </c>
      <c r="N109" t="s">
        <v>280</v>
      </c>
      <c r="O109" s="62" t="str">
        <f>VLOOKUP(C109,'SALARY DETALES'!$B$2:$D$475,3,0)</f>
        <v>OT</v>
      </c>
      <c r="Q109" s="55">
        <v>3353161791</v>
      </c>
      <c r="T109" t="s">
        <v>872</v>
      </c>
    </row>
    <row r="110" spans="2:20" x14ac:dyDescent="0.3">
      <c r="B110" s="55">
        <v>108</v>
      </c>
      <c r="C110" s="55">
        <v>30193</v>
      </c>
      <c r="D110" t="s">
        <v>719</v>
      </c>
      <c r="E110" t="s">
        <v>576</v>
      </c>
      <c r="F110" t="s">
        <v>873</v>
      </c>
      <c r="G110" s="55">
        <v>0</v>
      </c>
      <c r="H110" s="55" t="s">
        <v>1816</v>
      </c>
      <c r="J110" s="57">
        <f>VLOOKUP(C110,'SALARY DETALES'!$B$2:$S$475,18,0)</f>
        <v>22000</v>
      </c>
      <c r="K110" t="s">
        <v>567</v>
      </c>
      <c r="L110" s="60" t="str">
        <f>VLOOKUP(C110,'SALARY DETALES'!B109:C582,2,0)</f>
        <v>Section D #1</v>
      </c>
      <c r="M110" t="s">
        <v>721</v>
      </c>
      <c r="N110" t="s">
        <v>212</v>
      </c>
      <c r="O110" s="62" t="str">
        <f>VLOOKUP(C110,'SALARY DETALES'!$B$2:$D$475,3,0)</f>
        <v>BW</v>
      </c>
      <c r="P110" t="s">
        <v>874</v>
      </c>
      <c r="Q110" s="55">
        <v>3554691708</v>
      </c>
      <c r="S110" t="s">
        <v>875</v>
      </c>
    </row>
    <row r="111" spans="2:20" x14ac:dyDescent="0.3">
      <c r="B111" s="55">
        <v>109</v>
      </c>
      <c r="C111" s="55">
        <v>2046</v>
      </c>
      <c r="D111" t="s">
        <v>741</v>
      </c>
      <c r="E111" t="s">
        <v>114</v>
      </c>
      <c r="F111" t="s">
        <v>876</v>
      </c>
      <c r="G111" s="55">
        <v>0</v>
      </c>
      <c r="H111" s="55" t="s">
        <v>1816</v>
      </c>
      <c r="J111" s="57">
        <f>VLOOKUP(C111,'SALARY DETALES'!$B$2:$S$475,18,0)</f>
        <v>35000</v>
      </c>
      <c r="K111" t="s">
        <v>103</v>
      </c>
      <c r="L111" s="60" t="e">
        <f>VLOOKUP(C111,'SALARY DETALES'!B110:C583,2,0)</f>
        <v>#N/A</v>
      </c>
      <c r="M111" t="s">
        <v>721</v>
      </c>
      <c r="N111" t="s">
        <v>113</v>
      </c>
      <c r="O111" s="62" t="str">
        <f>VLOOKUP(C111,'SALARY DETALES'!$B$2:$D$475,3,0)</f>
        <v>BBQ Filling</v>
      </c>
      <c r="Q111" t="s">
        <v>877</v>
      </c>
      <c r="T111" t="s">
        <v>745</v>
      </c>
    </row>
    <row r="112" spans="2:20" x14ac:dyDescent="0.3">
      <c r="B112" s="55">
        <v>110</v>
      </c>
      <c r="C112" s="55">
        <v>27099</v>
      </c>
      <c r="D112" t="s">
        <v>719</v>
      </c>
      <c r="E112" t="s">
        <v>535</v>
      </c>
      <c r="F112" t="s">
        <v>878</v>
      </c>
      <c r="G112" s="55">
        <v>0</v>
      </c>
      <c r="H112" s="55" t="s">
        <v>1816</v>
      </c>
      <c r="J112" s="57">
        <f>VLOOKUP(C112,'SALARY DETALES'!$B$2:$S$475,18,0)</f>
        <v>25000</v>
      </c>
      <c r="K112" t="s">
        <v>528</v>
      </c>
      <c r="L112" s="60" t="str">
        <f>VLOOKUP(C112,'SALARY DETALES'!B111:C584,2,0)</f>
        <v>Section B #1</v>
      </c>
      <c r="M112" t="s">
        <v>721</v>
      </c>
      <c r="N112" t="s">
        <v>280</v>
      </c>
      <c r="O112" s="62" t="str">
        <f>VLOOKUP(C112,'SALARY DETALES'!$B$2:$D$475,3,0)</f>
        <v>OT</v>
      </c>
      <c r="P112" t="s">
        <v>879</v>
      </c>
    </row>
    <row r="113" spans="2:20" x14ac:dyDescent="0.3">
      <c r="B113" s="55">
        <v>111</v>
      </c>
      <c r="C113" s="55">
        <v>27085</v>
      </c>
      <c r="D113" t="s">
        <v>719</v>
      </c>
      <c r="E113" t="s">
        <v>100</v>
      </c>
      <c r="F113" t="s">
        <v>880</v>
      </c>
      <c r="G113" s="55">
        <v>0</v>
      </c>
      <c r="H113" s="55" t="s">
        <v>1817</v>
      </c>
      <c r="J113" s="57">
        <f>VLOOKUP(C113,'SALARY DETALES'!$B$2:$S$475,18,0)</f>
        <v>30000</v>
      </c>
      <c r="K113" t="s">
        <v>98</v>
      </c>
      <c r="L113" s="60" t="e">
        <f>VLOOKUP(C113,'SALARY DETALES'!B112:C585,2,0)</f>
        <v>#N/A</v>
      </c>
      <c r="M113" t="s">
        <v>721</v>
      </c>
      <c r="N113" t="s">
        <v>99</v>
      </c>
      <c r="O113" s="62" t="str">
        <f>VLOOKUP(C113,'SALARY DETALES'!$B$2:$D$475,3,0)</f>
        <v>Bakery</v>
      </c>
    </row>
    <row r="114" spans="2:20" x14ac:dyDescent="0.3">
      <c r="B114" s="55">
        <v>112</v>
      </c>
      <c r="C114" s="55">
        <v>6004</v>
      </c>
      <c r="D114" t="s">
        <v>719</v>
      </c>
      <c r="E114" t="s">
        <v>323</v>
      </c>
      <c r="F114" t="s">
        <v>881</v>
      </c>
      <c r="G114" s="55">
        <v>75</v>
      </c>
      <c r="H114" s="55" t="s">
        <v>1817</v>
      </c>
      <c r="J114" s="57">
        <f>VLOOKUP(C114,'SALARY DETALES'!$B$2:$S$475,18,0)</f>
        <v>40000</v>
      </c>
      <c r="K114" t="s">
        <v>321</v>
      </c>
      <c r="L114" s="60" t="str">
        <f>VLOOKUP(C114,'SALARY DETALES'!B113:C586,2,0)</f>
        <v>ITSS</v>
      </c>
      <c r="M114" t="s">
        <v>721</v>
      </c>
      <c r="N114" t="s">
        <v>322</v>
      </c>
      <c r="O114" s="62" t="str">
        <f>VLOOKUP(C114,'SALARY DETALES'!$B$2:$D$475,3,0)</f>
        <v>CCTV</v>
      </c>
    </row>
    <row r="115" spans="2:20" x14ac:dyDescent="0.3">
      <c r="B115" s="55">
        <v>113</v>
      </c>
      <c r="C115" s="55">
        <v>13043</v>
      </c>
      <c r="D115" t="s">
        <v>719</v>
      </c>
      <c r="E115" t="s">
        <v>265</v>
      </c>
      <c r="F115" t="s">
        <v>882</v>
      </c>
      <c r="G115" s="55">
        <v>0</v>
      </c>
      <c r="H115" s="55" t="s">
        <v>1816</v>
      </c>
      <c r="J115" s="57">
        <f>VLOOKUP(C115,'SALARY DETALES'!$B$2:$S$475,18,0)</f>
        <v>16000</v>
      </c>
      <c r="K115" t="s">
        <v>260</v>
      </c>
      <c r="L115" s="60" t="str">
        <f>VLOOKUP(C115,'SALARY DETALES'!B114:C587,2,0)</f>
        <v>Floor Wipping</v>
      </c>
      <c r="M115" t="s">
        <v>721</v>
      </c>
      <c r="N115" t="s">
        <v>260</v>
      </c>
      <c r="O115" s="62" t="str">
        <f>VLOOKUP(C115,'SALARY DETALES'!$B$2:$D$475,3,0)</f>
        <v>Floor Wipping</v>
      </c>
      <c r="P115" t="s">
        <v>883</v>
      </c>
      <c r="Q115" t="s">
        <v>884</v>
      </c>
      <c r="T115" t="s">
        <v>885</v>
      </c>
    </row>
    <row r="116" spans="2:20" x14ac:dyDescent="0.3">
      <c r="B116" s="55">
        <v>114</v>
      </c>
      <c r="C116" s="55">
        <v>40001</v>
      </c>
      <c r="D116" t="s">
        <v>719</v>
      </c>
      <c r="E116" t="s">
        <v>410</v>
      </c>
      <c r="F116" t="s">
        <v>886</v>
      </c>
      <c r="G116" s="55">
        <v>30</v>
      </c>
      <c r="H116" s="55" t="s">
        <v>1817</v>
      </c>
      <c r="J116" s="57">
        <f>VLOOKUP(C116,'SALARY DETALES'!$B$2:$S$475,18,0)</f>
        <v>38000</v>
      </c>
      <c r="K116" t="s">
        <v>408</v>
      </c>
      <c r="L116" s="60" t="str">
        <f>VLOOKUP(C116,'SALARY DETALES'!B115:C588,2,0)</f>
        <v>Music</v>
      </c>
      <c r="M116" t="s">
        <v>721</v>
      </c>
      <c r="N116" t="s">
        <v>409</v>
      </c>
      <c r="O116" s="62" t="str">
        <f>VLOOKUP(C116,'SALARY DETALES'!$B$2:$D$475,3,0)</f>
        <v>Music Incharge</v>
      </c>
    </row>
    <row r="117" spans="2:20" x14ac:dyDescent="0.3">
      <c r="B117" s="55">
        <v>115</v>
      </c>
      <c r="C117" s="55">
        <v>40002</v>
      </c>
      <c r="D117" t="s">
        <v>719</v>
      </c>
      <c r="E117" t="s">
        <v>411</v>
      </c>
      <c r="F117" t="s">
        <v>887</v>
      </c>
      <c r="G117" s="55">
        <v>0</v>
      </c>
      <c r="H117" s="55" t="s">
        <v>1817</v>
      </c>
      <c r="J117" s="57">
        <f>VLOOKUP(C117,'SALARY DETALES'!$B$2:$S$475,18,0)</f>
        <v>35000</v>
      </c>
      <c r="K117" t="s">
        <v>408</v>
      </c>
      <c r="L117" s="60" t="str">
        <f>VLOOKUP(C117,'SALARY DETALES'!B116:C589,2,0)</f>
        <v>Music</v>
      </c>
      <c r="M117" t="s">
        <v>721</v>
      </c>
      <c r="N117" t="s">
        <v>408</v>
      </c>
      <c r="O117" s="62" t="str">
        <f>VLOOKUP(C117,'SALARY DETALES'!$B$2:$D$475,3,0)</f>
        <v>Music</v>
      </c>
    </row>
    <row r="118" spans="2:20" x14ac:dyDescent="0.3">
      <c r="B118" s="55">
        <v>116</v>
      </c>
      <c r="C118" s="55">
        <v>40005</v>
      </c>
      <c r="D118" t="s">
        <v>741</v>
      </c>
      <c r="E118" t="s">
        <v>413</v>
      </c>
      <c r="F118" t="s">
        <v>888</v>
      </c>
      <c r="G118" s="55">
        <v>0</v>
      </c>
      <c r="H118" s="55" t="s">
        <v>1817</v>
      </c>
      <c r="J118" s="57">
        <f>VLOOKUP(C118,'SALARY DETALES'!$B$2:$S$475,18,0)</f>
        <v>30000</v>
      </c>
      <c r="K118" t="s">
        <v>408</v>
      </c>
      <c r="L118" s="60" t="str">
        <f>VLOOKUP(C118,'SALARY DETALES'!B117:C590,2,0)</f>
        <v>Music</v>
      </c>
      <c r="M118" t="s">
        <v>721</v>
      </c>
      <c r="N118" t="s">
        <v>412</v>
      </c>
      <c r="O118" s="62" t="str">
        <f>VLOOKUP(C118,'SALARY DETALES'!$B$2:$D$475,3,0)</f>
        <v>SINGER</v>
      </c>
      <c r="P118" t="s">
        <v>889</v>
      </c>
      <c r="Q118" t="s">
        <v>890</v>
      </c>
    </row>
    <row r="119" spans="2:20" x14ac:dyDescent="0.3">
      <c r="B119" s="55">
        <v>117</v>
      </c>
      <c r="C119" s="55">
        <v>22197</v>
      </c>
      <c r="D119" t="s">
        <v>719</v>
      </c>
      <c r="E119" t="s">
        <v>474</v>
      </c>
      <c r="F119" t="s">
        <v>891</v>
      </c>
      <c r="G119" s="55">
        <v>0</v>
      </c>
      <c r="H119" s="55" t="s">
        <v>1816</v>
      </c>
      <c r="J119" s="57">
        <f>VLOOKUP(C119,'SALARY DETALES'!$B$2:$S$475,18,0)</f>
        <v>24000</v>
      </c>
      <c r="K119" t="s">
        <v>472</v>
      </c>
      <c r="L119" s="60" t="str">
        <f>VLOOKUP(C119,'SALARY DETALES'!B118:C591,2,0)</f>
        <v>SALAD BAR</v>
      </c>
      <c r="M119" t="s">
        <v>721</v>
      </c>
      <c r="N119" t="s">
        <v>473</v>
      </c>
      <c r="O119" s="62" t="str">
        <f>VLOOKUP(C119,'SALARY DETALES'!$B$2:$D$475,3,0)</f>
        <v>Salad Bar</v>
      </c>
      <c r="P119" t="s">
        <v>892</v>
      </c>
    </row>
    <row r="120" spans="2:20" x14ac:dyDescent="0.3">
      <c r="B120" s="55">
        <v>118</v>
      </c>
      <c r="C120" s="55">
        <v>13009</v>
      </c>
      <c r="D120" t="s">
        <v>719</v>
      </c>
      <c r="E120" t="s">
        <v>459</v>
      </c>
      <c r="F120" t="s">
        <v>893</v>
      </c>
      <c r="G120" s="55">
        <v>0</v>
      </c>
      <c r="H120" s="55" t="s">
        <v>1816</v>
      </c>
      <c r="J120" s="57">
        <f>VLOOKUP(C120,'SALARY DETALES'!$B$2:$S$475,18,0)</f>
        <v>17600</v>
      </c>
      <c r="K120" t="s">
        <v>453</v>
      </c>
      <c r="L120" s="60" t="str">
        <f>VLOOKUP(C120,'SALARY DETALES'!B119:C592,2,0)</f>
        <v>RUNNER 2</v>
      </c>
      <c r="M120" t="s">
        <v>721</v>
      </c>
      <c r="N120" t="s">
        <v>139</v>
      </c>
      <c r="O120" s="62" t="str">
        <f>VLOOKUP(C120,'SALARY DETALES'!$B$2:$D$475,3,0)</f>
        <v>Runner</v>
      </c>
    </row>
    <row r="121" spans="2:20" x14ac:dyDescent="0.3">
      <c r="B121" s="55">
        <v>119</v>
      </c>
      <c r="C121" s="55">
        <v>22203</v>
      </c>
      <c r="D121" t="s">
        <v>719</v>
      </c>
      <c r="E121" t="s">
        <v>460</v>
      </c>
      <c r="F121" t="s">
        <v>894</v>
      </c>
      <c r="G121" s="55">
        <v>0</v>
      </c>
      <c r="H121" s="55" t="s">
        <v>1816</v>
      </c>
      <c r="J121" s="57">
        <f>VLOOKUP(C121,'SALARY DETALES'!$B$2:$S$475,18,0)</f>
        <v>17600</v>
      </c>
      <c r="K121" t="s">
        <v>453</v>
      </c>
      <c r="L121" s="60" t="str">
        <f>VLOOKUP(C121,'SALARY DETALES'!B120:C593,2,0)</f>
        <v>RUNNER 2</v>
      </c>
      <c r="M121" t="s">
        <v>721</v>
      </c>
      <c r="N121" t="s">
        <v>139</v>
      </c>
      <c r="O121" s="62" t="str">
        <f>VLOOKUP(C121,'SALARY DETALES'!$B$2:$D$475,3,0)</f>
        <v>Runner</v>
      </c>
      <c r="P121" t="s">
        <v>895</v>
      </c>
    </row>
    <row r="122" spans="2:20" x14ac:dyDescent="0.3">
      <c r="B122" s="55">
        <v>120</v>
      </c>
      <c r="C122" s="55">
        <v>8042</v>
      </c>
      <c r="D122" t="s">
        <v>719</v>
      </c>
      <c r="E122" t="s">
        <v>165</v>
      </c>
      <c r="F122" t="s">
        <v>896</v>
      </c>
      <c r="G122" s="55">
        <v>0</v>
      </c>
      <c r="H122" s="55" t="s">
        <v>1816</v>
      </c>
      <c r="J122" s="57">
        <f>VLOOKUP(C122,'SALARY DETALES'!$B$2:$S$475,18,0)</f>
        <v>45000</v>
      </c>
      <c r="K122" t="s">
        <v>159</v>
      </c>
      <c r="L122" s="60" t="e">
        <f>VLOOKUP(C122,'SALARY DETALES'!B121:C594,2,0)</f>
        <v>#N/A</v>
      </c>
      <c r="M122" t="s">
        <v>721</v>
      </c>
      <c r="N122" t="s">
        <v>163</v>
      </c>
      <c r="O122" s="62" t="str">
        <f>VLOOKUP(C122,'SALARY DETALES'!$B$2:$D$475,3,0)</f>
        <v>Chinese Helper</v>
      </c>
    </row>
    <row r="123" spans="2:20" x14ac:dyDescent="0.3">
      <c r="B123" s="55">
        <v>121</v>
      </c>
      <c r="C123" s="55">
        <v>21019</v>
      </c>
      <c r="D123" t="s">
        <v>719</v>
      </c>
      <c r="E123" t="s">
        <v>166</v>
      </c>
      <c r="F123" t="s">
        <v>897</v>
      </c>
      <c r="G123" s="55">
        <v>0</v>
      </c>
      <c r="H123" s="55" t="s">
        <v>1816</v>
      </c>
      <c r="J123" s="57">
        <f>VLOOKUP(C123,'SALARY DETALES'!$B$2:$S$475,18,0)</f>
        <v>25000</v>
      </c>
      <c r="K123" t="s">
        <v>159</v>
      </c>
      <c r="L123" s="60" t="e">
        <f>VLOOKUP(C123,'SALARY DETALES'!B122:C595,2,0)</f>
        <v>#N/A</v>
      </c>
      <c r="M123" t="s">
        <v>721</v>
      </c>
      <c r="N123" t="s">
        <v>163</v>
      </c>
      <c r="O123" s="62" t="str">
        <f>VLOOKUP(C123,'SALARY DETALES'!$B$2:$D$475,3,0)</f>
        <v>Chinese Helper</v>
      </c>
    </row>
    <row r="124" spans="2:20" x14ac:dyDescent="0.3">
      <c r="B124" s="55">
        <v>122</v>
      </c>
      <c r="C124" s="55">
        <v>2001</v>
      </c>
      <c r="D124" t="s">
        <v>719</v>
      </c>
      <c r="E124" t="s">
        <v>116</v>
      </c>
      <c r="F124" t="s">
        <v>898</v>
      </c>
      <c r="G124" s="55">
        <v>0</v>
      </c>
      <c r="H124" s="55" t="s">
        <v>1816</v>
      </c>
      <c r="J124" s="57">
        <f>VLOOKUP(C124,'SALARY DETALES'!$B$2:$S$475,18,0)</f>
        <v>100000</v>
      </c>
      <c r="K124" t="s">
        <v>103</v>
      </c>
      <c r="L124" s="60" t="e">
        <f>VLOOKUP(C124,'SALARY DETALES'!B123:C596,2,0)</f>
        <v>#N/A</v>
      </c>
      <c r="M124" t="s">
        <v>721</v>
      </c>
      <c r="N124" t="s">
        <v>115</v>
      </c>
      <c r="O124" s="62" t="str">
        <f>VLOOKUP(C124,'SALARY DETALES'!$B$2:$D$475,3,0)</f>
        <v>BBQ CHEF</v>
      </c>
      <c r="P124" t="s">
        <v>899</v>
      </c>
    </row>
    <row r="125" spans="2:20" x14ac:dyDescent="0.3">
      <c r="B125" s="55">
        <v>123</v>
      </c>
      <c r="C125" s="55">
        <v>1028</v>
      </c>
      <c r="D125" t="s">
        <v>719</v>
      </c>
      <c r="E125" t="s">
        <v>695</v>
      </c>
      <c r="F125" t="s">
        <v>900</v>
      </c>
      <c r="G125" s="55">
        <v>45</v>
      </c>
      <c r="H125" s="55" t="s">
        <v>1817</v>
      </c>
      <c r="J125" s="57">
        <f>VLOOKUP(C125,'SALARY DETALES'!$B$2:$S$475,18,0)</f>
        <v>27500</v>
      </c>
      <c r="K125" t="s">
        <v>685</v>
      </c>
      <c r="L125" s="60" t="str">
        <f>VLOOKUP(C125,'SALARY DETALES'!B124:C597,2,0)</f>
        <v>Tandoor Pickup</v>
      </c>
      <c r="M125" t="s">
        <v>721</v>
      </c>
      <c r="N125" t="s">
        <v>454</v>
      </c>
      <c r="O125" s="62" t="str">
        <f>VLOOKUP(C125,'SALARY DETALES'!$B$2:$D$475,3,0)</f>
        <v>ORDER PICKUP</v>
      </c>
      <c r="P125" t="s">
        <v>901</v>
      </c>
    </row>
    <row r="126" spans="2:20" x14ac:dyDescent="0.3">
      <c r="B126" s="55">
        <v>124</v>
      </c>
      <c r="C126" s="55">
        <v>16034</v>
      </c>
      <c r="D126" t="s">
        <v>719</v>
      </c>
      <c r="E126" t="s">
        <v>339</v>
      </c>
      <c r="F126" t="s">
        <v>894</v>
      </c>
      <c r="G126" s="55">
        <v>0</v>
      </c>
      <c r="H126" s="55" t="s">
        <v>1816</v>
      </c>
      <c r="J126" s="57">
        <f>VLOOKUP(C126,'SALARY DETALES'!$B$2:$S$475,18,0)</f>
        <v>33000</v>
      </c>
      <c r="K126" t="s">
        <v>332</v>
      </c>
      <c r="L126" s="60" t="str">
        <f>VLOOKUP(C126,'SALARY DETALES'!B125:C598,2,0)</f>
        <v>Karahi</v>
      </c>
      <c r="M126" t="s">
        <v>721</v>
      </c>
      <c r="N126" t="s">
        <v>335</v>
      </c>
      <c r="O126" s="62" t="str">
        <f>VLOOKUP(C126,'SALARY DETALES'!$B$2:$D$475,3,0)</f>
        <v>Karahi Helper</v>
      </c>
      <c r="P126" t="s">
        <v>902</v>
      </c>
      <c r="T126" t="s">
        <v>732</v>
      </c>
    </row>
    <row r="127" spans="2:20" x14ac:dyDescent="0.3">
      <c r="B127" s="55">
        <v>125</v>
      </c>
      <c r="C127" s="55">
        <v>12059</v>
      </c>
      <c r="D127" t="s">
        <v>719</v>
      </c>
      <c r="E127" t="s">
        <v>67</v>
      </c>
      <c r="F127" t="s">
        <v>903</v>
      </c>
      <c r="G127" s="55">
        <v>30</v>
      </c>
      <c r="H127" s="55" t="s">
        <v>1817</v>
      </c>
      <c r="J127" s="57">
        <f>VLOOKUP(C127,'SALARY DETALES'!$B$2:$S$475,18,0)</f>
        <v>30000</v>
      </c>
      <c r="K127" t="s">
        <v>59</v>
      </c>
      <c r="L127" s="60" t="e">
        <f>VLOOKUP(C127,'SALARY DETALES'!B126:C599,2,0)</f>
        <v>#N/A</v>
      </c>
      <c r="M127" t="s">
        <v>721</v>
      </c>
      <c r="N127" t="s">
        <v>66</v>
      </c>
      <c r="O127" s="62" t="str">
        <f>VLOOKUP(C127,'SALARY DETALES'!$B$2:$D$475,3,0)</f>
        <v>Imam</v>
      </c>
    </row>
    <row r="128" spans="2:20" x14ac:dyDescent="0.3">
      <c r="B128" s="55">
        <v>126</v>
      </c>
      <c r="C128" s="55">
        <v>11015</v>
      </c>
      <c r="D128" t="s">
        <v>719</v>
      </c>
      <c r="E128" t="s">
        <v>434</v>
      </c>
      <c r="F128" t="s">
        <v>797</v>
      </c>
      <c r="G128" s="55">
        <v>0</v>
      </c>
      <c r="H128" s="55" t="s">
        <v>1817</v>
      </c>
      <c r="J128" s="57">
        <f>VLOOKUP(C128,'SALARY DETALES'!$B$2:$S$475,18,0)</f>
        <v>26500</v>
      </c>
      <c r="K128" t="s">
        <v>428</v>
      </c>
      <c r="L128" s="60" t="str">
        <f>VLOOKUP(C128,'SALARY DETALES'!B127:C600,2,0)</f>
        <v>PLAY LAND</v>
      </c>
      <c r="M128" t="s">
        <v>721</v>
      </c>
      <c r="N128" t="s">
        <v>433</v>
      </c>
      <c r="O128" s="62" t="str">
        <f>VLOOKUP(C128,'SALARY DETALES'!$B$2:$D$475,3,0)</f>
        <v>PLAYLAND</v>
      </c>
    </row>
    <row r="129" spans="2:20" x14ac:dyDescent="0.3">
      <c r="B129" s="55">
        <v>127</v>
      </c>
      <c r="C129" s="55">
        <v>5042</v>
      </c>
      <c r="D129" t="s">
        <v>719</v>
      </c>
      <c r="E129" t="s">
        <v>53</v>
      </c>
      <c r="F129" t="s">
        <v>904</v>
      </c>
      <c r="G129" s="55">
        <v>15</v>
      </c>
      <c r="H129" s="55" t="s">
        <v>1817</v>
      </c>
      <c r="J129" s="57">
        <f>VLOOKUP(C129,'SALARY DETALES'!$B$2:$S$475,18,0)</f>
        <v>50000</v>
      </c>
      <c r="K129" t="s">
        <v>51</v>
      </c>
      <c r="L129" s="60" t="e">
        <f>VLOOKUP(C129,'SALARY DETALES'!B128:C601,2,0)</f>
        <v>#N/A</v>
      </c>
      <c r="M129" t="s">
        <v>721</v>
      </c>
      <c r="N129" t="s">
        <v>52</v>
      </c>
      <c r="O129" s="62" t="str">
        <f>VLOOKUP(C129,'SALARY DETALES'!$B$2:$D$475,3,0)</f>
        <v>Account Assistant</v>
      </c>
    </row>
    <row r="130" spans="2:20" x14ac:dyDescent="0.3">
      <c r="B130" s="55">
        <v>128</v>
      </c>
      <c r="C130" s="55">
        <v>15012</v>
      </c>
      <c r="D130" t="s">
        <v>719</v>
      </c>
      <c r="E130" t="s">
        <v>312</v>
      </c>
      <c r="F130" t="s">
        <v>905</v>
      </c>
      <c r="G130" s="55">
        <v>0</v>
      </c>
      <c r="H130" s="55" t="s">
        <v>1816</v>
      </c>
      <c r="J130" s="57">
        <f>VLOOKUP(C130,'SALARY DETALES'!$B$2:$S$475,18,0)</f>
        <v>30000</v>
      </c>
      <c r="K130" t="s">
        <v>310</v>
      </c>
      <c r="L130" s="60" t="str">
        <f>VLOOKUP(C130,'SALARY DETALES'!B129:C602,2,0)</f>
        <v>HANDI</v>
      </c>
      <c r="M130" t="s">
        <v>721</v>
      </c>
      <c r="N130" t="s">
        <v>311</v>
      </c>
      <c r="O130" s="62" t="str">
        <f>VLOOKUP(C130,'SALARY DETALES'!$B$2:$D$475,3,0)</f>
        <v>Handi Helper</v>
      </c>
      <c r="P130" t="s">
        <v>906</v>
      </c>
    </row>
    <row r="131" spans="2:20" x14ac:dyDescent="0.3">
      <c r="B131" s="55">
        <v>129</v>
      </c>
      <c r="C131" s="55">
        <v>32130</v>
      </c>
      <c r="D131" t="s">
        <v>719</v>
      </c>
      <c r="E131" t="s">
        <v>509</v>
      </c>
      <c r="F131" t="s">
        <v>907</v>
      </c>
      <c r="G131" s="55">
        <v>0</v>
      </c>
      <c r="H131" s="55" t="s">
        <v>1816</v>
      </c>
      <c r="J131" s="57">
        <f>VLOOKUP(C131,'SALARY DETALES'!$B$2:$S$475,18,0)</f>
        <v>25000</v>
      </c>
      <c r="K131" t="s">
        <v>505</v>
      </c>
      <c r="L131" s="60" t="str">
        <f>VLOOKUP(C131,'SALARY DETALES'!B130:C603,2,0)</f>
        <v>Section A#2</v>
      </c>
      <c r="M131" t="s">
        <v>721</v>
      </c>
      <c r="N131" t="s">
        <v>280</v>
      </c>
      <c r="O131" s="62" t="str">
        <f>VLOOKUP(C131,'SALARY DETALES'!$B$2:$D$475,3,0)</f>
        <v>OT</v>
      </c>
      <c r="P131" t="s">
        <v>908</v>
      </c>
      <c r="Q131" t="s">
        <v>909</v>
      </c>
    </row>
    <row r="132" spans="2:20" x14ac:dyDescent="0.3">
      <c r="B132" s="55">
        <v>130</v>
      </c>
      <c r="C132" s="55">
        <v>11004</v>
      </c>
      <c r="D132" t="s">
        <v>741</v>
      </c>
      <c r="E132" t="s">
        <v>435</v>
      </c>
      <c r="F132" t="s">
        <v>910</v>
      </c>
      <c r="G132" s="55">
        <v>0</v>
      </c>
      <c r="H132" s="55" t="s">
        <v>1817</v>
      </c>
      <c r="J132" s="57">
        <f>VLOOKUP(C132,'SALARY DETALES'!$B$2:$S$475,18,0)</f>
        <v>27500</v>
      </c>
      <c r="K132" t="s">
        <v>428</v>
      </c>
      <c r="L132" s="60" t="str">
        <f>VLOOKUP(C132,'SALARY DETALES'!B131:C604,2,0)</f>
        <v>PLAY LAND</v>
      </c>
      <c r="M132" t="s">
        <v>721</v>
      </c>
      <c r="N132" t="s">
        <v>428</v>
      </c>
      <c r="O132" s="62" t="str">
        <f>VLOOKUP(C132,'SALARY DETALES'!$B$2:$D$475,3,0)</f>
        <v>PLAY LAND</v>
      </c>
    </row>
    <row r="133" spans="2:20" x14ac:dyDescent="0.3">
      <c r="B133" s="55">
        <v>131</v>
      </c>
      <c r="C133" s="55">
        <v>24006</v>
      </c>
      <c r="D133" t="s">
        <v>719</v>
      </c>
      <c r="E133" t="s">
        <v>653</v>
      </c>
      <c r="F133" t="s">
        <v>911</v>
      </c>
      <c r="G133" s="55">
        <v>250</v>
      </c>
      <c r="H133" s="55" t="s">
        <v>1817</v>
      </c>
      <c r="J133" s="57">
        <f>VLOOKUP(C133,'SALARY DETALES'!$B$2:$S$475,18,0)</f>
        <v>35000</v>
      </c>
      <c r="K133" t="s">
        <v>649</v>
      </c>
      <c r="L133" s="60" t="str">
        <f>VLOOKUP(C133,'SALARY DETALES'!B132:C605,2,0)</f>
        <v>Staff Food</v>
      </c>
      <c r="M133" t="s">
        <v>721</v>
      </c>
      <c r="N133" t="s">
        <v>652</v>
      </c>
      <c r="O133" s="62" t="str">
        <f>VLOOKUP(C133,'SALARY DETALES'!$B$2:$D$475,3,0)</f>
        <v>Staff Food Chef</v>
      </c>
    </row>
    <row r="134" spans="2:20" x14ac:dyDescent="0.3">
      <c r="B134" s="55">
        <v>132</v>
      </c>
      <c r="C134" s="55">
        <v>25011</v>
      </c>
      <c r="D134" t="s">
        <v>719</v>
      </c>
      <c r="E134" t="s">
        <v>164</v>
      </c>
      <c r="F134" t="s">
        <v>912</v>
      </c>
      <c r="G134" s="55">
        <v>0</v>
      </c>
      <c r="H134" s="55" t="s">
        <v>1816</v>
      </c>
      <c r="J134" s="57">
        <f>VLOOKUP(C134,'SALARY DETALES'!$B$2:$S$475,18,0)</f>
        <v>28000</v>
      </c>
      <c r="K134" t="s">
        <v>654</v>
      </c>
      <c r="L134" s="60" t="str">
        <f>VLOOKUP(C134,'SALARY DETALES'!B133:C606,2,0)</f>
        <v>STORE</v>
      </c>
      <c r="M134" t="s">
        <v>721</v>
      </c>
      <c r="N134" t="s">
        <v>657</v>
      </c>
      <c r="O134" s="62" t="str">
        <f>VLOOKUP(C134,'SALARY DETALES'!$B$2:$D$475,3,0)</f>
        <v>Store Helper</v>
      </c>
    </row>
    <row r="135" spans="2:20" x14ac:dyDescent="0.3">
      <c r="B135" s="55">
        <v>133</v>
      </c>
      <c r="C135" s="55">
        <v>9067</v>
      </c>
      <c r="D135" t="s">
        <v>719</v>
      </c>
      <c r="E135" t="s">
        <v>184</v>
      </c>
      <c r="F135" t="s">
        <v>913</v>
      </c>
      <c r="G135" s="55">
        <v>0</v>
      </c>
      <c r="H135" s="55" t="s">
        <v>1816</v>
      </c>
      <c r="J135" s="57">
        <f>VLOOKUP(C135,'SALARY DETALES'!$B$2:$S$475,18,0)</f>
        <v>27500</v>
      </c>
      <c r="K135" t="s">
        <v>178</v>
      </c>
      <c r="L135" s="60" t="e">
        <f>VLOOKUP(C135,'SALARY DETALES'!B134:C607,2,0)</f>
        <v>#N/A</v>
      </c>
      <c r="M135" t="s">
        <v>721</v>
      </c>
      <c r="N135" t="s">
        <v>183</v>
      </c>
      <c r="O135" s="62" t="str">
        <f>VLOOKUP(C135,'SALARY DETALES'!$B$2:$D$475,3,0)</f>
        <v>Continental Helper</v>
      </c>
    </row>
    <row r="136" spans="2:20" x14ac:dyDescent="0.3">
      <c r="B136" s="55">
        <v>134</v>
      </c>
      <c r="C136" s="55">
        <v>9068</v>
      </c>
      <c r="D136" t="s">
        <v>719</v>
      </c>
      <c r="E136" t="s">
        <v>438</v>
      </c>
      <c r="F136" t="s">
        <v>913</v>
      </c>
      <c r="G136" s="55">
        <v>0</v>
      </c>
      <c r="H136" s="55" t="s">
        <v>1816</v>
      </c>
      <c r="J136" s="57">
        <f>VLOOKUP(C136,'SALARY DETALES'!$B$2:$S$475,18,0)</f>
        <v>50000</v>
      </c>
      <c r="K136" t="s">
        <v>436</v>
      </c>
      <c r="L136" s="60" t="str">
        <f>VLOOKUP(C136,'SALARY DETALES'!B135:C608,2,0)</f>
        <v>Pulao</v>
      </c>
      <c r="M136" t="s">
        <v>721</v>
      </c>
      <c r="N136" t="s">
        <v>437</v>
      </c>
      <c r="O136" s="62" t="str">
        <f>VLOOKUP(C136,'SALARY DETALES'!$B$2:$D$475,3,0)</f>
        <v>Pulao CHEF</v>
      </c>
    </row>
    <row r="137" spans="2:20" x14ac:dyDescent="0.3">
      <c r="B137" s="55">
        <v>135</v>
      </c>
      <c r="C137" s="55">
        <v>50643</v>
      </c>
      <c r="D137" t="s">
        <v>719</v>
      </c>
      <c r="E137" t="s">
        <v>146</v>
      </c>
      <c r="F137" t="s">
        <v>911</v>
      </c>
      <c r="G137" s="55">
        <v>0</v>
      </c>
      <c r="H137" s="55" t="s">
        <v>1817</v>
      </c>
      <c r="J137" s="57">
        <f>VLOOKUP(C137,'SALARY DETALES'!$B$2:$S$475,18,0)</f>
        <v>27600</v>
      </c>
      <c r="K137" t="s">
        <v>141</v>
      </c>
      <c r="L137" s="60" t="e">
        <f>VLOOKUP(C137,'SALARY DETALES'!B136:C609,2,0)</f>
        <v>#N/A</v>
      </c>
      <c r="M137" t="s">
        <v>721</v>
      </c>
      <c r="N137" t="s">
        <v>142</v>
      </c>
      <c r="O137" s="62" t="str">
        <f>VLOOKUP(C137,'SALARY DETALES'!$B$2:$D$475,3,0)</f>
        <v>CASHIER</v>
      </c>
    </row>
    <row r="138" spans="2:20" hidden="1" x14ac:dyDescent="0.3">
      <c r="B138" s="55">
        <v>136</v>
      </c>
      <c r="C138" s="55">
        <v>45102</v>
      </c>
      <c r="D138" t="s">
        <v>719</v>
      </c>
      <c r="E138" t="s">
        <v>1718</v>
      </c>
      <c r="F138" t="s">
        <v>914</v>
      </c>
      <c r="G138" s="55">
        <v>75</v>
      </c>
      <c r="H138" s="55" t="s">
        <v>1817</v>
      </c>
      <c r="J138" s="57" t="e">
        <f>VLOOKUP(C138,'SALARY DETALES'!$B$2:$S$475,18,0)</f>
        <v>#N/A</v>
      </c>
      <c r="K138" t="s">
        <v>915</v>
      </c>
      <c r="L138" s="60" t="e">
        <f>VLOOKUP(C138,'SALARY DETALES'!B137:C610,2,0)</f>
        <v>#N/A</v>
      </c>
      <c r="M138" t="s">
        <v>721</v>
      </c>
      <c r="N138" t="s">
        <v>916</v>
      </c>
      <c r="O138" s="62" t="e">
        <f>VLOOKUP(C138,'SALARY DETALES'!$B$2:$D$475,3,0)</f>
        <v>#N/A</v>
      </c>
    </row>
    <row r="139" spans="2:20" hidden="1" x14ac:dyDescent="0.3">
      <c r="B139" s="55">
        <v>137</v>
      </c>
      <c r="C139" s="55">
        <v>45110</v>
      </c>
      <c r="D139" t="s">
        <v>741</v>
      </c>
      <c r="E139" t="s">
        <v>173</v>
      </c>
      <c r="F139" t="s">
        <v>878</v>
      </c>
      <c r="G139" s="55">
        <v>0</v>
      </c>
      <c r="H139" s="55" t="s">
        <v>1816</v>
      </c>
      <c r="J139" s="57" t="e">
        <f>VLOOKUP(C139,'SALARY DETALES'!$B$2:$S$475,18,0)</f>
        <v>#N/A</v>
      </c>
      <c r="K139" t="s">
        <v>915</v>
      </c>
      <c r="L139" s="60" t="e">
        <f>VLOOKUP(C139,'SALARY DETALES'!B138:C611,2,0)</f>
        <v>#N/A</v>
      </c>
      <c r="M139" t="s">
        <v>721</v>
      </c>
      <c r="N139" t="s">
        <v>916</v>
      </c>
      <c r="O139" s="62" t="e">
        <f>VLOOKUP(C139,'SALARY DETALES'!$B$2:$D$475,3,0)</f>
        <v>#N/A</v>
      </c>
    </row>
    <row r="140" spans="2:20" x14ac:dyDescent="0.3">
      <c r="B140" s="55">
        <v>138</v>
      </c>
      <c r="C140" s="55">
        <v>16028</v>
      </c>
      <c r="D140" t="s">
        <v>719</v>
      </c>
      <c r="E140" t="s">
        <v>340</v>
      </c>
      <c r="F140" t="s">
        <v>917</v>
      </c>
      <c r="G140" s="55">
        <v>0</v>
      </c>
      <c r="H140" s="55" t="s">
        <v>1816</v>
      </c>
      <c r="J140" s="57">
        <f>VLOOKUP(C140,'SALARY DETALES'!$B$2:$S$475,18,0)</f>
        <v>44000</v>
      </c>
      <c r="K140" t="s">
        <v>332</v>
      </c>
      <c r="L140" s="60" t="str">
        <f>VLOOKUP(C140,'SALARY DETALES'!B139:C612,2,0)</f>
        <v>Karahi</v>
      </c>
      <c r="M140" t="s">
        <v>721</v>
      </c>
      <c r="N140" t="s">
        <v>335</v>
      </c>
      <c r="O140" s="62" t="str">
        <f>VLOOKUP(C140,'SALARY DETALES'!$B$2:$D$475,3,0)</f>
        <v>Karahi Helper</v>
      </c>
      <c r="P140" t="s">
        <v>918</v>
      </c>
      <c r="T140" t="s">
        <v>732</v>
      </c>
    </row>
    <row r="141" spans="2:20" x14ac:dyDescent="0.3">
      <c r="B141" s="55">
        <v>139</v>
      </c>
      <c r="C141" s="55">
        <v>26047</v>
      </c>
      <c r="D141" t="s">
        <v>719</v>
      </c>
      <c r="E141" t="s">
        <v>440</v>
      </c>
      <c r="F141" t="s">
        <v>919</v>
      </c>
      <c r="G141" s="55">
        <v>0</v>
      </c>
      <c r="H141" s="55" t="s">
        <v>1816</v>
      </c>
      <c r="J141" s="57">
        <f>VLOOKUP(C141,'SALARY DETALES'!$B$2:$S$475,18,0)</f>
        <v>16000</v>
      </c>
      <c r="K141" t="s">
        <v>685</v>
      </c>
      <c r="L141" s="60" t="str">
        <f>VLOOKUP(C141,'SALARY DETALES'!B140:C613,2,0)</f>
        <v>Tandoor Pickup</v>
      </c>
      <c r="M141" t="s">
        <v>721</v>
      </c>
      <c r="N141" t="s">
        <v>696</v>
      </c>
      <c r="O141" s="62" t="str">
        <f>VLOOKUP(C141,'SALARY DETALES'!$B$2:$D$475,3,0)</f>
        <v>Poori Pickup</v>
      </c>
    </row>
    <row r="142" spans="2:20" x14ac:dyDescent="0.3">
      <c r="B142" s="55">
        <v>140</v>
      </c>
      <c r="C142" s="55">
        <v>34021</v>
      </c>
      <c r="D142" t="s">
        <v>719</v>
      </c>
      <c r="E142" t="s">
        <v>1719</v>
      </c>
      <c r="F142" t="s">
        <v>920</v>
      </c>
      <c r="G142" s="55">
        <v>360</v>
      </c>
      <c r="H142" s="55" t="s">
        <v>1817</v>
      </c>
      <c r="J142" s="57">
        <f>VLOOKUP(C142,'SALARY DETALES'!$B$2:$S$475,18,0)</f>
        <v>30000</v>
      </c>
      <c r="K142" t="s">
        <v>368</v>
      </c>
      <c r="L142" s="60" t="str">
        <f>VLOOKUP(C142,'SALARY DETALES'!B141:C614,2,0)</f>
        <v>Maintenance</v>
      </c>
      <c r="M142" t="s">
        <v>721</v>
      </c>
      <c r="N142" t="s">
        <v>377</v>
      </c>
      <c r="O142" s="62" t="str">
        <f>VLOOKUP(C142,'SALARY DETALES'!$B$2:$D$475,3,0)</f>
        <v>PLUMBER HELPER</v>
      </c>
      <c r="Q142" t="s">
        <v>921</v>
      </c>
      <c r="T142" t="s">
        <v>922</v>
      </c>
    </row>
    <row r="143" spans="2:20" x14ac:dyDescent="0.3">
      <c r="B143" s="55">
        <v>141</v>
      </c>
      <c r="C143" s="55">
        <v>30203</v>
      </c>
      <c r="D143" t="s">
        <v>741</v>
      </c>
      <c r="E143" t="s">
        <v>616</v>
      </c>
      <c r="F143" t="s">
        <v>923</v>
      </c>
      <c r="G143" s="55">
        <v>0</v>
      </c>
      <c r="H143" s="55" t="s">
        <v>1816</v>
      </c>
      <c r="J143" s="57">
        <f>VLOOKUP(C143,'SALARY DETALES'!$B$2:$S$475,18,0)</f>
        <v>25000</v>
      </c>
      <c r="K143" t="s">
        <v>614</v>
      </c>
      <c r="L143" s="60" t="str">
        <f>VLOOKUP(C143,'SALARY DETALES'!B142:C615,2,0)</f>
        <v>Section E#2</v>
      </c>
      <c r="M143" t="s">
        <v>721</v>
      </c>
      <c r="N143" t="s">
        <v>280</v>
      </c>
      <c r="O143" s="62" t="str">
        <f>VLOOKUP(C143,'SALARY DETALES'!$B$2:$D$475,3,0)</f>
        <v>OT</v>
      </c>
      <c r="P143" t="s">
        <v>924</v>
      </c>
      <c r="Q143" t="s">
        <v>925</v>
      </c>
      <c r="T143" t="s">
        <v>783</v>
      </c>
    </row>
    <row r="144" spans="2:20" x14ac:dyDescent="0.3">
      <c r="B144" s="55">
        <v>142</v>
      </c>
      <c r="C144" s="55">
        <v>2054</v>
      </c>
      <c r="D144" t="s">
        <v>719</v>
      </c>
      <c r="E144" t="s">
        <v>118</v>
      </c>
      <c r="F144" t="s">
        <v>926</v>
      </c>
      <c r="G144" s="55">
        <v>0</v>
      </c>
      <c r="H144" s="55" t="s">
        <v>1816</v>
      </c>
      <c r="J144" s="57">
        <f>VLOOKUP(C144,'SALARY DETALES'!$B$2:$S$475,18,0)</f>
        <v>45000</v>
      </c>
      <c r="K144" t="s">
        <v>103</v>
      </c>
      <c r="L144" s="60" t="e">
        <f>VLOOKUP(C144,'SALARY DETALES'!B143:C616,2,0)</f>
        <v>#N/A</v>
      </c>
      <c r="M144" t="s">
        <v>721</v>
      </c>
      <c r="N144" t="s">
        <v>117</v>
      </c>
      <c r="O144" s="62" t="str">
        <f>VLOOKUP(C144,'SALARY DETALES'!$B$2:$D$475,3,0)</f>
        <v>BBQ Grill</v>
      </c>
      <c r="T144" t="s">
        <v>745</v>
      </c>
    </row>
    <row r="145" spans="2:20" x14ac:dyDescent="0.3">
      <c r="B145" s="55">
        <v>143</v>
      </c>
      <c r="C145" s="55">
        <v>5045</v>
      </c>
      <c r="D145" t="s">
        <v>719</v>
      </c>
      <c r="E145" t="s">
        <v>147</v>
      </c>
      <c r="F145" t="s">
        <v>927</v>
      </c>
      <c r="G145" s="55">
        <v>60</v>
      </c>
      <c r="H145" s="55" t="s">
        <v>1817</v>
      </c>
      <c r="J145" s="57">
        <f>VLOOKUP(C145,'SALARY DETALES'!$B$2:$S$475,18,0)</f>
        <v>26400</v>
      </c>
      <c r="K145" t="s">
        <v>141</v>
      </c>
      <c r="L145" s="60" t="e">
        <f>VLOOKUP(C145,'SALARY DETALES'!B144:C617,2,0)</f>
        <v>#N/A</v>
      </c>
      <c r="M145" t="s">
        <v>721</v>
      </c>
      <c r="N145" t="s">
        <v>142</v>
      </c>
      <c r="O145" s="62" t="str">
        <f>VLOOKUP(C145,'SALARY DETALES'!$B$2:$D$475,3,0)</f>
        <v>CASHIER</v>
      </c>
    </row>
    <row r="146" spans="2:20" x14ac:dyDescent="0.3">
      <c r="B146" s="55">
        <v>144</v>
      </c>
      <c r="C146" s="55">
        <v>9070</v>
      </c>
      <c r="D146" t="s">
        <v>719</v>
      </c>
      <c r="E146" t="s">
        <v>185</v>
      </c>
      <c r="F146" t="s">
        <v>928</v>
      </c>
      <c r="G146" s="55">
        <v>0</v>
      </c>
      <c r="H146" s="55" t="s">
        <v>1816</v>
      </c>
      <c r="J146" s="57">
        <f>VLOOKUP(C146,'SALARY DETALES'!$B$2:$S$475,18,0)</f>
        <v>35000</v>
      </c>
      <c r="K146" t="s">
        <v>178</v>
      </c>
      <c r="L146" s="60" t="e">
        <f>VLOOKUP(C146,'SALARY DETALES'!B145:C618,2,0)</f>
        <v>#N/A</v>
      </c>
      <c r="M146" t="s">
        <v>721</v>
      </c>
      <c r="N146" t="s">
        <v>183</v>
      </c>
      <c r="O146" s="62" t="str">
        <f>VLOOKUP(C146,'SALARY DETALES'!$B$2:$D$475,3,0)</f>
        <v>Continental Helper</v>
      </c>
    </row>
    <row r="147" spans="2:20" x14ac:dyDescent="0.3">
      <c r="B147" s="55">
        <v>145</v>
      </c>
      <c r="C147" s="55">
        <v>25021</v>
      </c>
      <c r="D147" t="s">
        <v>741</v>
      </c>
      <c r="E147" t="s">
        <v>659</v>
      </c>
      <c r="F147" t="s">
        <v>929</v>
      </c>
      <c r="G147" s="55">
        <v>600</v>
      </c>
      <c r="H147" s="55" t="s">
        <v>1817</v>
      </c>
      <c r="J147" s="57">
        <f>VLOOKUP(C147,'SALARY DETALES'!$B$2:$S$475,18,0)</f>
        <v>40000</v>
      </c>
      <c r="K147" t="s">
        <v>654</v>
      </c>
      <c r="L147" s="60" t="str">
        <f>VLOOKUP(C147,'SALARY DETALES'!B146:C619,2,0)</f>
        <v>STORE</v>
      </c>
      <c r="M147" t="s">
        <v>721</v>
      </c>
      <c r="N147" t="s">
        <v>658</v>
      </c>
      <c r="O147" s="62" t="str">
        <f>VLOOKUP(C147,'SALARY DETALES'!$B$2:$D$475,3,0)</f>
        <v>Store Data Keeper</v>
      </c>
      <c r="P147" t="s">
        <v>930</v>
      </c>
      <c r="Q147" t="s">
        <v>931</v>
      </c>
      <c r="T147" t="s">
        <v>783</v>
      </c>
    </row>
    <row r="148" spans="2:20" x14ac:dyDescent="0.3">
      <c r="B148" s="55">
        <v>146</v>
      </c>
      <c r="C148" s="55">
        <v>16036</v>
      </c>
      <c r="D148" t="s">
        <v>719</v>
      </c>
      <c r="E148" t="s">
        <v>341</v>
      </c>
      <c r="F148" t="s">
        <v>932</v>
      </c>
      <c r="G148" s="55">
        <v>0</v>
      </c>
      <c r="H148" s="55" t="s">
        <v>1816</v>
      </c>
      <c r="J148" s="57">
        <f>VLOOKUP(C148,'SALARY DETALES'!$B$2:$S$475,18,0)</f>
        <v>38500</v>
      </c>
      <c r="K148" t="s">
        <v>332</v>
      </c>
      <c r="L148" s="60" t="str">
        <f>VLOOKUP(C148,'SALARY DETALES'!B147:C620,2,0)</f>
        <v>Karahi</v>
      </c>
      <c r="M148" t="s">
        <v>721</v>
      </c>
      <c r="N148" t="s">
        <v>335</v>
      </c>
      <c r="O148" s="62" t="str">
        <f>VLOOKUP(C148,'SALARY DETALES'!$B$2:$D$475,3,0)</f>
        <v>Karahi Helper</v>
      </c>
      <c r="T148" t="s">
        <v>732</v>
      </c>
    </row>
    <row r="149" spans="2:20" x14ac:dyDescent="0.3">
      <c r="B149" s="55">
        <v>147</v>
      </c>
      <c r="C149" s="55">
        <v>32128</v>
      </c>
      <c r="D149" t="s">
        <v>719</v>
      </c>
      <c r="E149" t="s">
        <v>536</v>
      </c>
      <c r="F149" t="s">
        <v>933</v>
      </c>
      <c r="G149" s="55">
        <v>0</v>
      </c>
      <c r="H149" s="55" t="s">
        <v>1816</v>
      </c>
      <c r="J149" s="57">
        <f>VLOOKUP(C149,'SALARY DETALES'!$B$2:$S$475,18,0)</f>
        <v>17600</v>
      </c>
      <c r="K149" t="s">
        <v>528</v>
      </c>
      <c r="L149" s="60" t="str">
        <f>VLOOKUP(C149,'SALARY DETALES'!B148:C621,2,0)</f>
        <v>Section B #1</v>
      </c>
      <c r="M149" t="s">
        <v>721</v>
      </c>
      <c r="N149" t="s">
        <v>212</v>
      </c>
      <c r="O149" s="62" t="str">
        <f>VLOOKUP(C149,'SALARY DETALES'!$B$2:$D$475,3,0)</f>
        <v>BW</v>
      </c>
    </row>
    <row r="150" spans="2:20" x14ac:dyDescent="0.3">
      <c r="B150" s="55">
        <v>148</v>
      </c>
      <c r="C150" s="55">
        <v>30212</v>
      </c>
      <c r="D150" t="s">
        <v>741</v>
      </c>
      <c r="E150" t="s">
        <v>617</v>
      </c>
      <c r="F150" t="s">
        <v>934</v>
      </c>
      <c r="G150" s="55">
        <v>0</v>
      </c>
      <c r="H150" s="55" t="s">
        <v>1816</v>
      </c>
      <c r="J150" s="57">
        <f>VLOOKUP(C150,'SALARY DETALES'!$B$2:$S$475,18,0)</f>
        <v>20000</v>
      </c>
      <c r="K150" t="s">
        <v>614</v>
      </c>
      <c r="L150" s="60" t="str">
        <f>VLOOKUP(C150,'SALARY DETALES'!B149:C622,2,0)</f>
        <v>Section E#2</v>
      </c>
      <c r="M150" t="s">
        <v>721</v>
      </c>
      <c r="N150" t="s">
        <v>212</v>
      </c>
      <c r="O150" s="62" t="str">
        <f>VLOOKUP(C150,'SALARY DETALES'!$B$2:$D$475,3,0)</f>
        <v>BW</v>
      </c>
      <c r="P150" t="s">
        <v>935</v>
      </c>
      <c r="Q150" t="s">
        <v>936</v>
      </c>
      <c r="T150" t="s">
        <v>937</v>
      </c>
    </row>
    <row r="151" spans="2:20" x14ac:dyDescent="0.3">
      <c r="B151" s="55">
        <v>149</v>
      </c>
      <c r="C151" s="55">
        <v>1029</v>
      </c>
      <c r="D151" t="s">
        <v>719</v>
      </c>
      <c r="E151" t="s">
        <v>698</v>
      </c>
      <c r="F151" t="s">
        <v>938</v>
      </c>
      <c r="G151" s="55">
        <v>45</v>
      </c>
      <c r="H151" s="55" t="s">
        <v>1817</v>
      </c>
      <c r="J151" s="57">
        <f>VLOOKUP(C151,'SALARY DETALES'!$B$2:$S$475,18,0)</f>
        <v>24200</v>
      </c>
      <c r="K151" t="s">
        <v>685</v>
      </c>
      <c r="L151" s="60" t="str">
        <f>VLOOKUP(C151,'SALARY DETALES'!B150:C623,2,0)</f>
        <v>Tandoor Pickup</v>
      </c>
      <c r="M151" t="s">
        <v>721</v>
      </c>
      <c r="N151" t="s">
        <v>697</v>
      </c>
      <c r="O151" s="62" t="str">
        <f>VLOOKUP(C151,'SALARY DETALES'!$B$2:$D$475,3,0)</f>
        <v>ORDER ENTRY</v>
      </c>
    </row>
    <row r="152" spans="2:20" x14ac:dyDescent="0.3">
      <c r="B152" s="55">
        <v>150</v>
      </c>
      <c r="C152" s="55">
        <v>40008</v>
      </c>
      <c r="D152" t="s">
        <v>719</v>
      </c>
      <c r="E152" t="s">
        <v>415</v>
      </c>
      <c r="F152" t="s">
        <v>939</v>
      </c>
      <c r="G152" s="55">
        <v>0</v>
      </c>
      <c r="H152" s="55" t="s">
        <v>1817</v>
      </c>
      <c r="J152" s="57">
        <f>VLOOKUP(C152,'SALARY DETALES'!$B$2:$S$475,18,0)</f>
        <v>25000</v>
      </c>
      <c r="K152" t="s">
        <v>408</v>
      </c>
      <c r="L152" s="60" t="str">
        <f>VLOOKUP(C152,'SALARY DETALES'!B151:C624,2,0)</f>
        <v>Music</v>
      </c>
      <c r="M152" t="s">
        <v>721</v>
      </c>
      <c r="N152" t="s">
        <v>414</v>
      </c>
      <c r="O152" s="62" t="str">
        <f>VLOOKUP(C152,'SALARY DETALES'!$B$2:$D$475,3,0)</f>
        <v>Music Keyboard</v>
      </c>
    </row>
    <row r="153" spans="2:20" x14ac:dyDescent="0.3">
      <c r="B153" s="55">
        <v>151</v>
      </c>
      <c r="C153" s="55">
        <v>33154</v>
      </c>
      <c r="D153" t="s">
        <v>719</v>
      </c>
      <c r="E153" t="s">
        <v>626</v>
      </c>
      <c r="F153" t="s">
        <v>934</v>
      </c>
      <c r="G153" s="55">
        <v>0</v>
      </c>
      <c r="H153" s="55" t="s">
        <v>1816</v>
      </c>
      <c r="J153" s="57">
        <f>VLOOKUP(C153,'SALARY DETALES'!$B$2:$S$475,18,0)</f>
        <v>23000</v>
      </c>
      <c r="K153" t="s">
        <v>621</v>
      </c>
      <c r="L153" s="60" t="str">
        <f>VLOOKUP(C153,'SALARY DETALES'!B152:C625,2,0)</f>
        <v>Section F</v>
      </c>
      <c r="M153" t="s">
        <v>721</v>
      </c>
      <c r="N153" t="s">
        <v>419</v>
      </c>
      <c r="O153" s="62" t="str">
        <f>VLOOKUP(C153,'SALARY DETALES'!$B$2:$D$475,3,0)</f>
        <v>O/T</v>
      </c>
      <c r="P153" t="s">
        <v>940</v>
      </c>
      <c r="Q153" t="s">
        <v>941</v>
      </c>
      <c r="T153" t="s">
        <v>942</v>
      </c>
    </row>
    <row r="154" spans="2:20" x14ac:dyDescent="0.3">
      <c r="B154" s="55">
        <v>152</v>
      </c>
      <c r="C154" s="55">
        <v>27205</v>
      </c>
      <c r="D154" t="s">
        <v>719</v>
      </c>
      <c r="E154" t="s">
        <v>249</v>
      </c>
      <c r="F154" t="s">
        <v>943</v>
      </c>
      <c r="G154" s="55">
        <v>0</v>
      </c>
      <c r="H154" s="55" t="s">
        <v>1816</v>
      </c>
      <c r="J154" s="57">
        <f>VLOOKUP(C154,'SALARY DETALES'!$B$2:$S$475,18,0)</f>
        <v>16000</v>
      </c>
      <c r="K154" t="s">
        <v>481</v>
      </c>
      <c r="L154" s="60" t="str">
        <f>VLOOKUP(C154,'SALARY DETALES'!B153:C626,2,0)</f>
        <v>Section A #1</v>
      </c>
      <c r="M154" t="s">
        <v>721</v>
      </c>
      <c r="N154" t="s">
        <v>229</v>
      </c>
      <c r="O154" s="62" t="str">
        <f>VLOOKUP(C154,'SALARY DETALES'!$B$2:$D$475,3,0)</f>
        <v>B/S</v>
      </c>
    </row>
    <row r="155" spans="2:20" x14ac:dyDescent="0.3">
      <c r="B155" s="55">
        <v>153</v>
      </c>
      <c r="C155" s="55">
        <v>24003</v>
      </c>
      <c r="D155" t="s">
        <v>719</v>
      </c>
      <c r="E155" t="s">
        <v>354</v>
      </c>
      <c r="F155" t="s">
        <v>944</v>
      </c>
      <c r="G155" s="55">
        <v>0</v>
      </c>
      <c r="H155" s="55" t="s">
        <v>1816</v>
      </c>
      <c r="J155" s="57">
        <f>VLOOKUP(C155,'SALARY DETALES'!$B$2:$S$475,18,0)</f>
        <v>33000</v>
      </c>
      <c r="K155" t="s">
        <v>667</v>
      </c>
      <c r="L155" s="60" t="str">
        <f>VLOOKUP(C155,'SALARY DETALES'!B154:C627,2,0)</f>
        <v>Tandoor</v>
      </c>
      <c r="M155" t="s">
        <v>721</v>
      </c>
      <c r="N155" t="s">
        <v>677</v>
      </c>
      <c r="O155" s="62" t="str">
        <f>VLOOKUP(C155,'SALARY DETALES'!$B$2:$D$475,3,0)</f>
        <v>Tandoor Helper</v>
      </c>
    </row>
    <row r="156" spans="2:20" hidden="1" x14ac:dyDescent="0.3">
      <c r="B156" s="55">
        <v>154</v>
      </c>
      <c r="C156" s="55">
        <v>34023</v>
      </c>
      <c r="D156" t="s">
        <v>719</v>
      </c>
      <c r="E156" t="s">
        <v>1720</v>
      </c>
      <c r="F156" t="s">
        <v>878</v>
      </c>
      <c r="G156" s="55">
        <v>600</v>
      </c>
      <c r="H156" s="55" t="s">
        <v>1817</v>
      </c>
      <c r="J156" s="57" t="e">
        <f>VLOOKUP(C156,'SALARY DETALES'!$B$2:$S$475,18,0)</f>
        <v>#N/A</v>
      </c>
      <c r="K156" t="s">
        <v>945</v>
      </c>
      <c r="L156" s="60" t="e">
        <f>VLOOKUP(C156,'SALARY DETALES'!B155:C628,2,0)</f>
        <v>#N/A</v>
      </c>
      <c r="M156" t="s">
        <v>721</v>
      </c>
      <c r="N156" t="s">
        <v>946</v>
      </c>
      <c r="O156" s="62" t="e">
        <f>VLOOKUP(C156,'SALARY DETALES'!$B$2:$D$475,3,0)</f>
        <v>#N/A</v>
      </c>
    </row>
    <row r="157" spans="2:20" x14ac:dyDescent="0.3">
      <c r="B157" s="55">
        <v>155</v>
      </c>
      <c r="C157" s="55">
        <v>22236</v>
      </c>
      <c r="D157" t="s">
        <v>741</v>
      </c>
      <c r="E157" t="s">
        <v>358</v>
      </c>
      <c r="F157" t="s">
        <v>947</v>
      </c>
      <c r="G157" s="55">
        <v>0</v>
      </c>
      <c r="H157" s="55" t="s">
        <v>1816</v>
      </c>
      <c r="J157" s="57">
        <f>VLOOKUP(C157,'SALARY DETALES'!$B$2:$S$475,18,0)</f>
        <v>25000</v>
      </c>
      <c r="K157" t="s">
        <v>356</v>
      </c>
      <c r="L157" s="60" t="str">
        <f>VLOOKUP(C157,'SALARY DETALES'!B156:C629,2,0)</f>
        <v>Kunafa</v>
      </c>
      <c r="M157" t="s">
        <v>721</v>
      </c>
      <c r="N157" t="s">
        <v>357</v>
      </c>
      <c r="O157" s="62" t="str">
        <f>VLOOKUP(C157,'SALARY DETALES'!$B$2:$D$475,3,0)</f>
        <v>Kunafa Helper</v>
      </c>
      <c r="Q157" t="s">
        <v>948</v>
      </c>
      <c r="T157" t="s">
        <v>783</v>
      </c>
    </row>
    <row r="158" spans="2:20" x14ac:dyDescent="0.3">
      <c r="B158" s="55">
        <v>156</v>
      </c>
      <c r="C158" s="55">
        <v>32135</v>
      </c>
      <c r="D158" t="s">
        <v>719</v>
      </c>
      <c r="E158" t="s">
        <v>618</v>
      </c>
      <c r="F158" t="s">
        <v>949</v>
      </c>
      <c r="G158" s="55">
        <v>0</v>
      </c>
      <c r="H158" s="55" t="s">
        <v>1816</v>
      </c>
      <c r="J158" s="57">
        <f>VLOOKUP(C158,'SALARY DETALES'!$B$2:$S$475,18,0)</f>
        <v>25000</v>
      </c>
      <c r="K158" t="s">
        <v>614</v>
      </c>
      <c r="L158" s="60" t="str">
        <f>VLOOKUP(C158,'SALARY DETALES'!B157:C630,2,0)</f>
        <v>Section E#2</v>
      </c>
      <c r="M158" t="s">
        <v>721</v>
      </c>
      <c r="N158" t="s">
        <v>280</v>
      </c>
      <c r="O158" s="62" t="str">
        <f>VLOOKUP(C158,'SALARY DETALES'!$B$2:$D$475,3,0)</f>
        <v>OT</v>
      </c>
    </row>
    <row r="159" spans="2:20" x14ac:dyDescent="0.3">
      <c r="B159" s="55">
        <v>157</v>
      </c>
      <c r="C159" s="55">
        <v>27207</v>
      </c>
      <c r="D159" t="s">
        <v>719</v>
      </c>
      <c r="E159" t="s">
        <v>510</v>
      </c>
      <c r="F159" t="s">
        <v>949</v>
      </c>
      <c r="G159" s="55">
        <v>0</v>
      </c>
      <c r="H159" s="55" t="s">
        <v>1816</v>
      </c>
      <c r="J159" s="57">
        <f>VLOOKUP(C159,'SALARY DETALES'!$B$2:$S$475,18,0)</f>
        <v>25000</v>
      </c>
      <c r="K159" t="s">
        <v>505</v>
      </c>
      <c r="L159" s="60" t="str">
        <f>VLOOKUP(C159,'SALARY DETALES'!B158:C631,2,0)</f>
        <v>Section A#2</v>
      </c>
      <c r="M159" t="s">
        <v>721</v>
      </c>
      <c r="N159" t="s">
        <v>212</v>
      </c>
      <c r="O159" s="62" t="str">
        <f>VLOOKUP(C159,'SALARY DETALES'!$B$2:$D$475,3,0)</f>
        <v>BW</v>
      </c>
    </row>
    <row r="160" spans="2:20" x14ac:dyDescent="0.3">
      <c r="B160" s="55">
        <v>158</v>
      </c>
      <c r="C160" s="55">
        <v>26049</v>
      </c>
      <c r="D160" t="s">
        <v>719</v>
      </c>
      <c r="E160" t="s">
        <v>678</v>
      </c>
      <c r="F160" t="s">
        <v>950</v>
      </c>
      <c r="G160" s="55">
        <v>0</v>
      </c>
      <c r="H160" s="55" t="s">
        <v>1816</v>
      </c>
      <c r="J160" s="57">
        <f>VLOOKUP(C160,'SALARY DETALES'!$B$2:$S$475,18,0)</f>
        <v>54000</v>
      </c>
      <c r="K160" t="s">
        <v>667</v>
      </c>
      <c r="L160" s="60" t="str">
        <f>VLOOKUP(C160,'SALARY DETALES'!B159:C632,2,0)</f>
        <v>Tandoor</v>
      </c>
      <c r="M160" t="s">
        <v>721</v>
      </c>
      <c r="N160" t="s">
        <v>670</v>
      </c>
      <c r="O160" s="62" t="str">
        <f>VLOOKUP(C160,'SALARY DETALES'!$B$2:$D$475,3,0)</f>
        <v>Tandoor Cook</v>
      </c>
    </row>
    <row r="161" spans="2:20" x14ac:dyDescent="0.3">
      <c r="B161" s="55">
        <v>159</v>
      </c>
      <c r="C161" s="55">
        <v>32031</v>
      </c>
      <c r="D161" t="s">
        <v>719</v>
      </c>
      <c r="E161" t="s">
        <v>641</v>
      </c>
      <c r="F161" t="s">
        <v>951</v>
      </c>
      <c r="G161" s="55">
        <v>0</v>
      </c>
      <c r="H161" s="55" t="s">
        <v>1816</v>
      </c>
      <c r="J161" s="57">
        <f>VLOOKUP(C161,'SALARY DETALES'!$B$2:$S$475,18,0)</f>
        <v>17600</v>
      </c>
      <c r="K161" t="s">
        <v>637</v>
      </c>
      <c r="L161" s="60" t="str">
        <f>VLOOKUP(C161,'SALARY DETALES'!B160:C633,2,0)</f>
        <v>Section F2</v>
      </c>
      <c r="M161" t="s">
        <v>721</v>
      </c>
      <c r="N161" t="s">
        <v>212</v>
      </c>
      <c r="O161" s="62" t="str">
        <f>VLOOKUP(C161,'SALARY DETALES'!$B$2:$D$475,3,0)</f>
        <v>BW</v>
      </c>
    </row>
    <row r="162" spans="2:20" x14ac:dyDescent="0.3">
      <c r="B162" s="55">
        <v>160</v>
      </c>
      <c r="C162" s="55">
        <v>1030</v>
      </c>
      <c r="D162" t="s">
        <v>719</v>
      </c>
      <c r="E162" t="s">
        <v>88</v>
      </c>
      <c r="F162" t="s">
        <v>952</v>
      </c>
      <c r="G162" s="55">
        <v>45</v>
      </c>
      <c r="H162" s="55" t="s">
        <v>1817</v>
      </c>
      <c r="J162" s="57">
        <f>VLOOKUP(C162,'SALARY DETALES'!$B$2:$S$475,18,0)</f>
        <v>27500</v>
      </c>
      <c r="K162" t="s">
        <v>80</v>
      </c>
      <c r="L162" s="60" t="e">
        <f>VLOOKUP(C162,'SALARY DETALES'!B161:C634,2,0)</f>
        <v>#N/A</v>
      </c>
      <c r="M162" t="s">
        <v>721</v>
      </c>
      <c r="N162" t="s">
        <v>87</v>
      </c>
      <c r="O162" s="62" t="str">
        <f>VLOOKUP(C162,'SALARY DETALES'!$B$2:$D$475,3,0)</f>
        <v>Assembler Helper</v>
      </c>
    </row>
    <row r="163" spans="2:20" x14ac:dyDescent="0.3">
      <c r="B163" s="55">
        <v>161</v>
      </c>
      <c r="C163" s="55">
        <v>28063</v>
      </c>
      <c r="D163" t="s">
        <v>719</v>
      </c>
      <c r="E163" t="s">
        <v>252</v>
      </c>
      <c r="F163" t="s">
        <v>953</v>
      </c>
      <c r="G163" s="55">
        <v>20</v>
      </c>
      <c r="H163" s="55" t="s">
        <v>1817</v>
      </c>
      <c r="J163" s="57">
        <f>VLOOKUP(C163,'SALARY DETALES'!$B$2:$S$475,18,0)</f>
        <v>35000</v>
      </c>
      <c r="K163" t="s">
        <v>234</v>
      </c>
      <c r="L163" s="60" t="e">
        <f>VLOOKUP(C163,'SALARY DETALES'!B162:C635,2,0)</f>
        <v>#N/A</v>
      </c>
      <c r="M163" t="s">
        <v>721</v>
      </c>
      <c r="N163" t="s">
        <v>251</v>
      </c>
      <c r="O163" s="62" t="str">
        <f>VLOOKUP(C163,'SALARY DETALES'!$B$2:$D$475,3,0)</f>
        <v>FLOOR INCHAGE</v>
      </c>
      <c r="Q163" t="s">
        <v>954</v>
      </c>
      <c r="T163" t="s">
        <v>955</v>
      </c>
    </row>
    <row r="164" spans="2:20" x14ac:dyDescent="0.3">
      <c r="B164" s="55">
        <v>162</v>
      </c>
      <c r="C164" s="55">
        <v>33161</v>
      </c>
      <c r="D164" t="s">
        <v>719</v>
      </c>
      <c r="E164" t="s">
        <v>642</v>
      </c>
      <c r="F164" t="s">
        <v>956</v>
      </c>
      <c r="G164" s="55">
        <v>0</v>
      </c>
      <c r="H164" s="55" t="s">
        <v>1816</v>
      </c>
      <c r="J164" s="57">
        <f>VLOOKUP(C164,'SALARY DETALES'!$B$2:$S$475,18,0)</f>
        <v>20000</v>
      </c>
      <c r="K164" t="s">
        <v>637</v>
      </c>
      <c r="L164" s="60" t="str">
        <f>VLOOKUP(C164,'SALARY DETALES'!B163:C636,2,0)</f>
        <v>Section F2</v>
      </c>
      <c r="M164" t="s">
        <v>721</v>
      </c>
      <c r="N164" t="s">
        <v>212</v>
      </c>
      <c r="O164" s="62" t="str">
        <f>VLOOKUP(C164,'SALARY DETALES'!$B$2:$D$475,3,0)</f>
        <v>BW</v>
      </c>
      <c r="P164" t="s">
        <v>957</v>
      </c>
      <c r="Q164" t="s">
        <v>958</v>
      </c>
    </row>
    <row r="165" spans="2:20" x14ac:dyDescent="0.3">
      <c r="B165" s="55">
        <v>163</v>
      </c>
      <c r="C165" s="55">
        <v>30219</v>
      </c>
      <c r="D165" t="s">
        <v>719</v>
      </c>
      <c r="E165" t="s">
        <v>287</v>
      </c>
      <c r="F165" t="s">
        <v>959</v>
      </c>
      <c r="G165" s="55">
        <v>405</v>
      </c>
      <c r="H165" s="55" t="s">
        <v>1817</v>
      </c>
      <c r="J165" s="57">
        <f>VLOOKUP(C165,'SALARY DETALES'!$B$2:$S$475,18,0)</f>
        <v>28000</v>
      </c>
      <c r="K165" t="s">
        <v>286</v>
      </c>
      <c r="L165" s="60" t="e">
        <f>VLOOKUP(C165,'SALARY DETALES'!B164:C637,2,0)</f>
        <v>#N/A</v>
      </c>
      <c r="M165" t="s">
        <v>721</v>
      </c>
      <c r="N165" t="s">
        <v>286</v>
      </c>
      <c r="O165" s="62" t="str">
        <f>VLOOKUP(C165,'SALARY DETALES'!$B$2:$D$475,3,0)</f>
        <v>GRO</v>
      </c>
      <c r="Q165" t="s">
        <v>960</v>
      </c>
      <c r="T165" t="s">
        <v>783</v>
      </c>
    </row>
    <row r="166" spans="2:20" x14ac:dyDescent="0.3">
      <c r="B166" s="55">
        <v>164</v>
      </c>
      <c r="C166" s="55">
        <v>8057</v>
      </c>
      <c r="D166" t="s">
        <v>719</v>
      </c>
      <c r="E166" t="s">
        <v>168</v>
      </c>
      <c r="F166" t="s">
        <v>961</v>
      </c>
      <c r="G166" s="55">
        <v>0</v>
      </c>
      <c r="H166" s="55" t="s">
        <v>1816</v>
      </c>
      <c r="J166" s="57">
        <f>VLOOKUP(C166,'SALARY DETALES'!$B$2:$S$475,18,0)</f>
        <v>30000</v>
      </c>
      <c r="K166" t="s">
        <v>159</v>
      </c>
      <c r="L166" s="60" t="e">
        <f>VLOOKUP(C166,'SALARY DETALES'!B165:C638,2,0)</f>
        <v>#N/A</v>
      </c>
      <c r="M166" t="s">
        <v>721</v>
      </c>
      <c r="N166" t="s">
        <v>163</v>
      </c>
      <c r="O166" s="62" t="str">
        <f>VLOOKUP(C166,'SALARY DETALES'!$B$2:$D$475,3,0)</f>
        <v>Chinese Helper</v>
      </c>
    </row>
    <row r="167" spans="2:20" x14ac:dyDescent="0.3">
      <c r="B167" s="55">
        <v>165</v>
      </c>
      <c r="C167" s="55">
        <v>15013</v>
      </c>
      <c r="D167" t="s">
        <v>719</v>
      </c>
      <c r="E167" t="s">
        <v>314</v>
      </c>
      <c r="F167" t="s">
        <v>962</v>
      </c>
      <c r="G167" s="55">
        <v>45</v>
      </c>
      <c r="H167" s="55" t="s">
        <v>1817</v>
      </c>
      <c r="J167" s="57">
        <f>VLOOKUP(C167,'SALARY DETALES'!$B$2:$S$475,18,0)</f>
        <v>55000</v>
      </c>
      <c r="K167" t="s">
        <v>310</v>
      </c>
      <c r="L167" s="60" t="str">
        <f>VLOOKUP(C167,'SALARY DETALES'!B166:C639,2,0)</f>
        <v>HANDI</v>
      </c>
      <c r="M167" t="s">
        <v>721</v>
      </c>
      <c r="N167" t="s">
        <v>313</v>
      </c>
      <c r="O167" s="62" t="str">
        <f>VLOOKUP(C167,'SALARY DETALES'!$B$2:$D$475,3,0)</f>
        <v>Handi Chef</v>
      </c>
    </row>
    <row r="168" spans="2:20" x14ac:dyDescent="0.3">
      <c r="B168" s="55">
        <v>166</v>
      </c>
      <c r="C168" s="55">
        <v>30222</v>
      </c>
      <c r="D168" t="s">
        <v>719</v>
      </c>
      <c r="E168" t="s">
        <v>577</v>
      </c>
      <c r="F168" t="s">
        <v>963</v>
      </c>
      <c r="G168" s="55">
        <v>0</v>
      </c>
      <c r="H168" s="55" t="s">
        <v>1816</v>
      </c>
      <c r="J168" s="57">
        <f>VLOOKUP(C168,'SALARY DETALES'!$B$2:$S$475,18,0)</f>
        <v>16000</v>
      </c>
      <c r="K168" t="s">
        <v>567</v>
      </c>
      <c r="L168" s="60" t="str">
        <f>VLOOKUP(C168,'SALARY DETALES'!B167:C640,2,0)</f>
        <v>Section D #1</v>
      </c>
      <c r="M168" t="s">
        <v>721</v>
      </c>
      <c r="N168" t="s">
        <v>482</v>
      </c>
      <c r="O168" s="62" t="str">
        <f>VLOOKUP(C168,'SALARY DETALES'!$B$2:$D$475,3,0)</f>
        <v>BST</v>
      </c>
    </row>
    <row r="169" spans="2:20" x14ac:dyDescent="0.3">
      <c r="B169" s="55">
        <v>167</v>
      </c>
      <c r="C169" s="55">
        <v>34025</v>
      </c>
      <c r="D169" t="s">
        <v>719</v>
      </c>
      <c r="E169" t="s">
        <v>380</v>
      </c>
      <c r="F169" t="s">
        <v>963</v>
      </c>
      <c r="G169" s="55">
        <v>660</v>
      </c>
      <c r="H169" s="55" t="s">
        <v>1817</v>
      </c>
      <c r="J169" s="57">
        <f>VLOOKUP(C169,'SALARY DETALES'!$B$2:$S$475,18,0)</f>
        <v>30000</v>
      </c>
      <c r="K169" t="s">
        <v>368</v>
      </c>
      <c r="L169" s="60" t="str">
        <f>VLOOKUP(C169,'SALARY DETALES'!B168:C641,2,0)</f>
        <v>Maintenance</v>
      </c>
      <c r="M169" t="s">
        <v>721</v>
      </c>
      <c r="N169" t="s">
        <v>379</v>
      </c>
      <c r="O169" s="62" t="str">
        <f>VLOOKUP(C169,'SALARY DETALES'!$B$2:$D$475,3,0)</f>
        <v>AC HELPER</v>
      </c>
    </row>
    <row r="170" spans="2:20" x14ac:dyDescent="0.3">
      <c r="B170" s="55">
        <v>168</v>
      </c>
      <c r="C170" s="55">
        <v>26053</v>
      </c>
      <c r="D170" t="s">
        <v>719</v>
      </c>
      <c r="E170" t="s">
        <v>679</v>
      </c>
      <c r="F170" t="s">
        <v>964</v>
      </c>
      <c r="G170" s="55">
        <v>0</v>
      </c>
      <c r="H170" s="55" t="s">
        <v>1816</v>
      </c>
      <c r="J170" s="57">
        <f>VLOOKUP(C170,'SALARY DETALES'!$B$2:$S$475,18,0)</f>
        <v>46200</v>
      </c>
      <c r="K170" t="s">
        <v>667</v>
      </c>
      <c r="L170" s="60" t="str">
        <f>VLOOKUP(C170,'SALARY DETALES'!B169:C642,2,0)</f>
        <v>Tandoor</v>
      </c>
      <c r="M170" t="s">
        <v>721</v>
      </c>
      <c r="N170" t="s">
        <v>670</v>
      </c>
      <c r="O170" s="62" t="str">
        <f>VLOOKUP(C170,'SALARY DETALES'!$B$2:$D$475,3,0)</f>
        <v>Tandoor Cook</v>
      </c>
    </row>
    <row r="171" spans="2:20" x14ac:dyDescent="0.3">
      <c r="B171" s="55">
        <v>169</v>
      </c>
      <c r="C171" s="55">
        <v>32091</v>
      </c>
      <c r="D171" t="s">
        <v>719</v>
      </c>
      <c r="E171" t="s">
        <v>619</v>
      </c>
      <c r="F171" t="s">
        <v>965</v>
      </c>
      <c r="G171" s="55">
        <v>0</v>
      </c>
      <c r="H171" s="55" t="s">
        <v>1816</v>
      </c>
      <c r="J171" s="57">
        <f>VLOOKUP(C171,'SALARY DETALES'!$B$2:$S$475,18,0)</f>
        <v>25000</v>
      </c>
      <c r="K171" t="s">
        <v>614</v>
      </c>
      <c r="L171" s="60" t="str">
        <f>VLOOKUP(C171,'SALARY DETALES'!B170:C643,2,0)</f>
        <v>Section E#2</v>
      </c>
      <c r="M171" t="s">
        <v>721</v>
      </c>
      <c r="N171" t="s">
        <v>280</v>
      </c>
      <c r="O171" s="62" t="str">
        <f>VLOOKUP(C171,'SALARY DETALES'!$B$2:$D$475,3,0)</f>
        <v>OT</v>
      </c>
    </row>
    <row r="172" spans="2:20" x14ac:dyDescent="0.3">
      <c r="B172" s="55">
        <v>170</v>
      </c>
      <c r="C172" s="55">
        <v>16038</v>
      </c>
      <c r="D172" t="s">
        <v>719</v>
      </c>
      <c r="E172" t="s">
        <v>342</v>
      </c>
      <c r="F172" t="s">
        <v>966</v>
      </c>
      <c r="G172" s="55">
        <v>0</v>
      </c>
      <c r="H172" s="55" t="s">
        <v>1816</v>
      </c>
      <c r="J172" s="57">
        <f>VLOOKUP(C172,'SALARY DETALES'!$B$2:$S$475,18,0)</f>
        <v>38500</v>
      </c>
      <c r="K172" t="s">
        <v>332</v>
      </c>
      <c r="L172" s="60" t="str">
        <f>VLOOKUP(C172,'SALARY DETALES'!B171:C644,2,0)</f>
        <v>Karahi</v>
      </c>
      <c r="M172" t="s">
        <v>721</v>
      </c>
      <c r="N172" t="s">
        <v>335</v>
      </c>
      <c r="O172" s="62" t="str">
        <f>VLOOKUP(C172,'SALARY DETALES'!$B$2:$D$475,3,0)</f>
        <v>Karahi Helper</v>
      </c>
      <c r="T172" t="s">
        <v>732</v>
      </c>
    </row>
    <row r="173" spans="2:20" x14ac:dyDescent="0.3">
      <c r="B173" s="55">
        <v>171</v>
      </c>
      <c r="C173" s="55">
        <v>9077</v>
      </c>
      <c r="D173" t="s">
        <v>719</v>
      </c>
      <c r="E173" t="s">
        <v>186</v>
      </c>
      <c r="F173" t="s">
        <v>967</v>
      </c>
      <c r="G173" s="55">
        <v>0</v>
      </c>
      <c r="H173" s="55" t="s">
        <v>1816</v>
      </c>
      <c r="J173" s="57">
        <f>VLOOKUP(C173,'SALARY DETALES'!$B$2:$S$475,18,0)</f>
        <v>30000</v>
      </c>
      <c r="K173" t="s">
        <v>178</v>
      </c>
      <c r="L173" s="60" t="e">
        <f>VLOOKUP(C173,'SALARY DETALES'!B172:C645,2,0)</f>
        <v>#N/A</v>
      </c>
      <c r="M173" t="s">
        <v>721</v>
      </c>
      <c r="N173" t="s">
        <v>183</v>
      </c>
      <c r="O173" s="62" t="str">
        <f>VLOOKUP(C173,'SALARY DETALES'!$B$2:$D$475,3,0)</f>
        <v>Continental Helper</v>
      </c>
    </row>
    <row r="174" spans="2:20" x14ac:dyDescent="0.3">
      <c r="B174" s="55">
        <v>172</v>
      </c>
      <c r="C174" s="55">
        <v>26054</v>
      </c>
      <c r="D174" t="s">
        <v>719</v>
      </c>
      <c r="E174" t="s">
        <v>680</v>
      </c>
      <c r="F174" t="s">
        <v>968</v>
      </c>
      <c r="G174" s="55">
        <v>0</v>
      </c>
      <c r="H174" s="55" t="s">
        <v>1816</v>
      </c>
      <c r="J174" s="57">
        <f>VLOOKUP(C174,'SALARY DETALES'!$B$2:$S$475,18,0)</f>
        <v>33000</v>
      </c>
      <c r="K174" t="s">
        <v>667</v>
      </c>
      <c r="L174" s="60" t="str">
        <f>VLOOKUP(C174,'SALARY DETALES'!B173:C646,2,0)</f>
        <v>Tandoor</v>
      </c>
      <c r="M174" t="s">
        <v>721</v>
      </c>
      <c r="N174" t="s">
        <v>677</v>
      </c>
      <c r="O174" s="62" t="str">
        <f>VLOOKUP(C174,'SALARY DETALES'!$B$2:$D$475,3,0)</f>
        <v>Tandoor Helper</v>
      </c>
    </row>
    <row r="175" spans="2:20" x14ac:dyDescent="0.3">
      <c r="B175" s="55">
        <v>173</v>
      </c>
      <c r="C175" s="55">
        <v>3045</v>
      </c>
      <c r="D175" t="s">
        <v>719</v>
      </c>
      <c r="E175" t="s">
        <v>101</v>
      </c>
      <c r="F175" t="s">
        <v>969</v>
      </c>
      <c r="G175" s="55">
        <v>60</v>
      </c>
      <c r="H175" s="55" t="s">
        <v>1817</v>
      </c>
      <c r="J175" s="57">
        <f>VLOOKUP(C175,'SALARY DETALES'!$B$2:$S$475,18,0)</f>
        <v>40000</v>
      </c>
      <c r="K175" t="s">
        <v>98</v>
      </c>
      <c r="L175" s="60" t="e">
        <f>VLOOKUP(C175,'SALARY DETALES'!B174:C647,2,0)</f>
        <v>#N/A</v>
      </c>
      <c r="M175" t="s">
        <v>721</v>
      </c>
      <c r="N175" t="s">
        <v>99</v>
      </c>
      <c r="O175" s="62" t="str">
        <f>VLOOKUP(C175,'SALARY DETALES'!$B$2:$D$475,3,0)</f>
        <v>Bakery</v>
      </c>
    </row>
    <row r="176" spans="2:20" x14ac:dyDescent="0.3">
      <c r="B176" s="55">
        <v>174</v>
      </c>
      <c r="C176" s="55">
        <v>30224</v>
      </c>
      <c r="D176" t="s">
        <v>719</v>
      </c>
      <c r="E176" t="s">
        <v>643</v>
      </c>
      <c r="F176" t="s">
        <v>970</v>
      </c>
      <c r="G176" s="55">
        <v>0</v>
      </c>
      <c r="H176" s="55" t="s">
        <v>1816</v>
      </c>
      <c r="J176" s="57">
        <f>VLOOKUP(C176,'SALARY DETALES'!$B$2:$S$475,18,0)</f>
        <v>23000</v>
      </c>
      <c r="K176" t="s">
        <v>637</v>
      </c>
      <c r="L176" s="60" t="str">
        <f>VLOOKUP(C176,'SALARY DETALES'!B175:C648,2,0)</f>
        <v>Section F2</v>
      </c>
      <c r="M176" t="s">
        <v>721</v>
      </c>
      <c r="N176" t="s">
        <v>280</v>
      </c>
      <c r="O176" s="62" t="str">
        <f>VLOOKUP(C176,'SALARY DETALES'!$B$2:$D$475,3,0)</f>
        <v>OT</v>
      </c>
    </row>
    <row r="177" spans="2:20" x14ac:dyDescent="0.3">
      <c r="B177" s="55">
        <v>175</v>
      </c>
      <c r="C177" s="55">
        <v>22254</v>
      </c>
      <c r="D177" t="s">
        <v>741</v>
      </c>
      <c r="E177" t="s">
        <v>266</v>
      </c>
      <c r="F177" t="s">
        <v>971</v>
      </c>
      <c r="G177" s="55">
        <v>0</v>
      </c>
      <c r="H177" s="55" t="s">
        <v>1816</v>
      </c>
      <c r="J177" s="57">
        <f>VLOOKUP(C177,'SALARY DETALES'!$B$2:$S$475,18,0)</f>
        <v>16000</v>
      </c>
      <c r="K177" t="s">
        <v>260</v>
      </c>
      <c r="L177" s="60" t="e">
        <f>VLOOKUP(C177,'SALARY DETALES'!B176:C649,2,0)</f>
        <v>#N/A</v>
      </c>
      <c r="M177" t="s">
        <v>721</v>
      </c>
      <c r="N177" t="s">
        <v>190</v>
      </c>
      <c r="O177" s="62" t="str">
        <f>VLOOKUP(C177,'SALARY DETALES'!$B$2:$D$475,3,0)</f>
        <v>Helper</v>
      </c>
      <c r="T177" t="s">
        <v>783</v>
      </c>
    </row>
    <row r="178" spans="2:20" x14ac:dyDescent="0.3">
      <c r="B178" s="55">
        <v>176</v>
      </c>
      <c r="C178" s="55">
        <v>26056</v>
      </c>
      <c r="D178" t="s">
        <v>719</v>
      </c>
      <c r="E178" t="s">
        <v>681</v>
      </c>
      <c r="F178" t="s">
        <v>972</v>
      </c>
      <c r="G178" s="55">
        <v>0</v>
      </c>
      <c r="H178" s="55" t="s">
        <v>1816</v>
      </c>
      <c r="J178" s="57">
        <f>VLOOKUP(C178,'SALARY DETALES'!$B$2:$S$475,18,0)</f>
        <v>49500</v>
      </c>
      <c r="K178" t="s">
        <v>667</v>
      </c>
      <c r="L178" s="60" t="str">
        <f>VLOOKUP(C178,'SALARY DETALES'!B177:C650,2,0)</f>
        <v>Tandoor</v>
      </c>
      <c r="M178" t="s">
        <v>721</v>
      </c>
      <c r="N178" t="s">
        <v>670</v>
      </c>
      <c r="O178" s="62" t="str">
        <f>VLOOKUP(C178,'SALARY DETALES'!$B$2:$D$475,3,0)</f>
        <v>Tandoor Cook</v>
      </c>
    </row>
    <row r="179" spans="2:20" x14ac:dyDescent="0.3">
      <c r="B179" s="55">
        <v>177</v>
      </c>
      <c r="C179" s="55">
        <v>6008</v>
      </c>
      <c r="D179" t="s">
        <v>719</v>
      </c>
      <c r="E179" t="s">
        <v>325</v>
      </c>
      <c r="F179" t="s">
        <v>973</v>
      </c>
      <c r="G179" s="55">
        <v>120</v>
      </c>
      <c r="H179" s="55" t="s">
        <v>1817</v>
      </c>
      <c r="J179" s="57">
        <f>VLOOKUP(C179,'SALARY DETALES'!$B$2:$S$475,18,0)</f>
        <v>40000</v>
      </c>
      <c r="K179" t="s">
        <v>321</v>
      </c>
      <c r="L179" s="60" t="e">
        <f>VLOOKUP(C179,'SALARY DETALES'!B178:C651,2,0)</f>
        <v>#N/A</v>
      </c>
      <c r="M179" t="s">
        <v>721</v>
      </c>
      <c r="N179" t="s">
        <v>324</v>
      </c>
      <c r="O179" s="62" t="str">
        <f>VLOOKUP(C179,'SALARY DETALES'!$B$2:$D$475,3,0)</f>
        <v>IT Manager</v>
      </c>
    </row>
    <row r="180" spans="2:20" x14ac:dyDescent="0.3">
      <c r="B180" s="55">
        <v>178</v>
      </c>
      <c r="C180" s="55">
        <v>40009</v>
      </c>
      <c r="D180" t="s">
        <v>719</v>
      </c>
      <c r="E180" t="s">
        <v>416</v>
      </c>
      <c r="F180" t="s">
        <v>972</v>
      </c>
      <c r="G180" s="55">
        <v>30</v>
      </c>
      <c r="H180" s="55" t="s">
        <v>1817</v>
      </c>
      <c r="J180" s="57">
        <f>VLOOKUP(C180,'SALARY DETALES'!$B$2:$S$475,18,0)</f>
        <v>20000</v>
      </c>
      <c r="K180" t="s">
        <v>408</v>
      </c>
      <c r="L180" s="60" t="str">
        <f>VLOOKUP(C180,'SALARY DETALES'!B179:C652,2,0)</f>
        <v>Music</v>
      </c>
      <c r="M180" t="s">
        <v>721</v>
      </c>
      <c r="N180" t="s">
        <v>408</v>
      </c>
      <c r="O180" s="62" t="str">
        <f>VLOOKUP(C180,'SALARY DETALES'!$B$2:$D$475,3,0)</f>
        <v>Music</v>
      </c>
    </row>
    <row r="181" spans="2:20" x14ac:dyDescent="0.3">
      <c r="B181" s="55">
        <v>179</v>
      </c>
      <c r="C181" s="55">
        <v>14069</v>
      </c>
      <c r="D181" t="s">
        <v>719</v>
      </c>
      <c r="E181" t="s">
        <v>206</v>
      </c>
      <c r="F181" t="s">
        <v>974</v>
      </c>
      <c r="G181" s="55">
        <v>60</v>
      </c>
      <c r="H181" s="55" t="s">
        <v>1817</v>
      </c>
      <c r="J181" s="57">
        <f>VLOOKUP(C181,'SALARY DETALES'!$B$2:$S$475,18,0)</f>
        <v>30000</v>
      </c>
      <c r="K181" t="s">
        <v>202</v>
      </c>
      <c r="L181" s="60" t="e">
        <f>VLOOKUP(C181,'SALARY DETALES'!B180:C653,2,0)</f>
        <v>#N/A</v>
      </c>
      <c r="M181" t="s">
        <v>721</v>
      </c>
      <c r="N181" t="s">
        <v>205</v>
      </c>
      <c r="O181" s="62" t="str">
        <f>VLOOKUP(C181,'SALARY DETALES'!$B$2:$D$475,3,0)</f>
        <v>event</v>
      </c>
    </row>
    <row r="182" spans="2:20" x14ac:dyDescent="0.3">
      <c r="B182" s="55">
        <v>180</v>
      </c>
      <c r="C182" s="55">
        <v>32138</v>
      </c>
      <c r="D182" t="s">
        <v>719</v>
      </c>
      <c r="E182" t="s">
        <v>297</v>
      </c>
      <c r="F182" t="s">
        <v>975</v>
      </c>
      <c r="G182" s="55">
        <v>405</v>
      </c>
      <c r="H182" s="55" t="s">
        <v>1817</v>
      </c>
      <c r="J182" s="57">
        <f>VLOOKUP(C182,'SALARY DETALES'!$B$2:$S$475,18,0)</f>
        <v>28000</v>
      </c>
      <c r="K182" t="s">
        <v>286</v>
      </c>
      <c r="L182" s="60" t="e">
        <f>VLOOKUP(C182,'SALARY DETALES'!B181:C654,2,0)</f>
        <v>#N/A</v>
      </c>
      <c r="M182" t="s">
        <v>721</v>
      </c>
      <c r="N182" t="s">
        <v>286</v>
      </c>
      <c r="O182" s="62" t="str">
        <f>VLOOKUP(C182,'SALARY DETALES'!$B$2:$D$475,3,0)</f>
        <v>GRO</v>
      </c>
      <c r="P182" t="s">
        <v>976</v>
      </c>
      <c r="Q182" t="s">
        <v>977</v>
      </c>
    </row>
    <row r="183" spans="2:20" x14ac:dyDescent="0.3">
      <c r="B183" s="55">
        <v>181</v>
      </c>
      <c r="C183" s="55">
        <v>3048</v>
      </c>
      <c r="D183" t="s">
        <v>719</v>
      </c>
      <c r="E183" t="s">
        <v>102</v>
      </c>
      <c r="F183" t="s">
        <v>978</v>
      </c>
      <c r="G183" s="55">
        <v>0</v>
      </c>
      <c r="H183" s="55" t="s">
        <v>1817</v>
      </c>
      <c r="J183" s="57">
        <f>VLOOKUP(C183,'SALARY DETALES'!$B$2:$S$475,18,0)</f>
        <v>45000</v>
      </c>
      <c r="K183" t="s">
        <v>98</v>
      </c>
      <c r="L183" s="60" t="e">
        <f>VLOOKUP(C183,'SALARY DETALES'!B182:C655,2,0)</f>
        <v>#N/A</v>
      </c>
      <c r="M183" t="s">
        <v>721</v>
      </c>
      <c r="N183" t="s">
        <v>99</v>
      </c>
      <c r="O183" s="62" t="str">
        <f>VLOOKUP(C183,'SALARY DETALES'!$B$2:$D$475,3,0)</f>
        <v>Bakery</v>
      </c>
    </row>
    <row r="184" spans="2:20" x14ac:dyDescent="0.3">
      <c r="B184" s="55">
        <v>182</v>
      </c>
      <c r="C184" s="55">
        <v>34028</v>
      </c>
      <c r="D184" t="s">
        <v>719</v>
      </c>
      <c r="E184" t="s">
        <v>1721</v>
      </c>
      <c r="F184" t="s">
        <v>979</v>
      </c>
      <c r="G184" s="55">
        <v>360</v>
      </c>
      <c r="H184" s="55" t="s">
        <v>1817</v>
      </c>
      <c r="J184" s="57">
        <f>VLOOKUP(C184,'SALARY DETALES'!$B$2:$S$475,18,0)</f>
        <v>55000</v>
      </c>
      <c r="K184" t="s">
        <v>368</v>
      </c>
      <c r="L184" s="60" t="str">
        <f>VLOOKUP(C184,'SALARY DETALES'!B183:C656,2,0)</f>
        <v>Maintenance</v>
      </c>
      <c r="M184" t="s">
        <v>721</v>
      </c>
      <c r="N184" t="s">
        <v>381</v>
      </c>
      <c r="O184" s="62" t="str">
        <f>VLOOKUP(C184,'SALARY DETALES'!$B$2:$D$475,3,0)</f>
        <v>MALI</v>
      </c>
    </row>
    <row r="185" spans="2:20" x14ac:dyDescent="0.3">
      <c r="B185" s="55">
        <v>183</v>
      </c>
      <c r="C185" s="55">
        <v>3049</v>
      </c>
      <c r="D185" t="s">
        <v>719</v>
      </c>
      <c r="E185" t="s">
        <v>133</v>
      </c>
      <c r="F185" t="s">
        <v>819</v>
      </c>
      <c r="G185" s="55">
        <v>0</v>
      </c>
      <c r="H185" s="55" t="s">
        <v>1817</v>
      </c>
      <c r="J185" s="57">
        <f>VLOOKUP(C185,'SALARY DETALES'!$B$2:$S$475,18,0)</f>
        <v>22000</v>
      </c>
      <c r="K185" t="s">
        <v>131</v>
      </c>
      <c r="L185" s="60" t="e">
        <f>VLOOKUP(C185,'SALARY DETALES'!B184:C657,2,0)</f>
        <v>#N/A</v>
      </c>
      <c r="M185" t="s">
        <v>721</v>
      </c>
      <c r="N185" t="s">
        <v>132</v>
      </c>
      <c r="O185" s="62" t="str">
        <f>VLOOKUP(C185,'SALARY DETALES'!$B$2:$D$475,3,0)</f>
        <v>Beverages</v>
      </c>
    </row>
    <row r="186" spans="2:20" x14ac:dyDescent="0.3">
      <c r="B186" s="55">
        <v>184</v>
      </c>
      <c r="C186" s="55">
        <v>40011</v>
      </c>
      <c r="D186" t="s">
        <v>719</v>
      </c>
      <c r="E186" t="s">
        <v>417</v>
      </c>
      <c r="F186" t="s">
        <v>972</v>
      </c>
      <c r="G186" s="55">
        <v>30</v>
      </c>
      <c r="H186" s="55" t="s">
        <v>1817</v>
      </c>
      <c r="J186" s="57">
        <f>VLOOKUP(C186,'SALARY DETALES'!$B$2:$S$475,18,0)</f>
        <v>25000</v>
      </c>
      <c r="K186" t="s">
        <v>408</v>
      </c>
      <c r="L186" s="60" t="str">
        <f>VLOOKUP(C186,'SALARY DETALES'!B185:C658,2,0)</f>
        <v>Music</v>
      </c>
      <c r="M186" t="s">
        <v>721</v>
      </c>
      <c r="N186" t="s">
        <v>408</v>
      </c>
      <c r="O186" s="62" t="str">
        <f>VLOOKUP(C186,'SALARY DETALES'!$B$2:$D$475,3,0)</f>
        <v>Music</v>
      </c>
      <c r="T186" t="s">
        <v>980</v>
      </c>
    </row>
    <row r="187" spans="2:20" x14ac:dyDescent="0.3">
      <c r="B187" s="55">
        <v>185</v>
      </c>
      <c r="C187" s="55">
        <v>28144</v>
      </c>
      <c r="D187" t="s">
        <v>719</v>
      </c>
      <c r="E187" t="s">
        <v>537</v>
      </c>
      <c r="F187" t="s">
        <v>744</v>
      </c>
      <c r="G187" s="55">
        <v>0</v>
      </c>
      <c r="H187" s="55" t="s">
        <v>1816</v>
      </c>
      <c r="J187" s="57">
        <f>VLOOKUP(C187,'SALARY DETALES'!$B$2:$S$475,18,0)</f>
        <v>23100</v>
      </c>
      <c r="K187" t="s">
        <v>528</v>
      </c>
      <c r="L187" s="60" t="str">
        <f>VLOOKUP(C187,'SALARY DETALES'!B186:C659,2,0)</f>
        <v>Section B #1</v>
      </c>
      <c r="M187" t="s">
        <v>721</v>
      </c>
      <c r="N187" t="s">
        <v>212</v>
      </c>
      <c r="O187" s="62" t="str">
        <f>VLOOKUP(C187,'SALARY DETALES'!$B$2:$D$475,3,0)</f>
        <v>BW</v>
      </c>
      <c r="T187" t="s">
        <v>745</v>
      </c>
    </row>
    <row r="188" spans="2:20" x14ac:dyDescent="0.3">
      <c r="B188" s="55">
        <v>186</v>
      </c>
      <c r="C188" s="55">
        <v>3050</v>
      </c>
      <c r="D188" t="s">
        <v>719</v>
      </c>
      <c r="E188" t="s">
        <v>134</v>
      </c>
      <c r="F188" t="s">
        <v>981</v>
      </c>
      <c r="G188" s="55">
        <v>0</v>
      </c>
      <c r="H188" s="55" t="s">
        <v>1817</v>
      </c>
      <c r="J188" s="57">
        <f>VLOOKUP(C188,'SALARY DETALES'!$B$2:$S$475,18,0)</f>
        <v>22000</v>
      </c>
      <c r="K188" t="s">
        <v>131</v>
      </c>
      <c r="L188" s="60" t="e">
        <f>VLOOKUP(C188,'SALARY DETALES'!B187:C660,2,0)</f>
        <v>#N/A</v>
      </c>
      <c r="M188" t="s">
        <v>721</v>
      </c>
      <c r="N188" t="s">
        <v>132</v>
      </c>
      <c r="O188" s="62" t="str">
        <f>VLOOKUP(C188,'SALARY DETALES'!$B$2:$D$475,3,0)</f>
        <v>Beverages</v>
      </c>
      <c r="T188" t="s">
        <v>745</v>
      </c>
    </row>
    <row r="189" spans="2:20" x14ac:dyDescent="0.3">
      <c r="B189" s="55">
        <v>187</v>
      </c>
      <c r="C189" s="55">
        <v>28145</v>
      </c>
      <c r="D189" t="s">
        <v>719</v>
      </c>
      <c r="E189" t="s">
        <v>213</v>
      </c>
      <c r="F189" t="s">
        <v>982</v>
      </c>
      <c r="G189" s="55">
        <v>0</v>
      </c>
      <c r="H189" s="55" t="s">
        <v>1816</v>
      </c>
      <c r="J189" s="57">
        <f>VLOOKUP(C189,'SALARY DETALES'!$B$2:$S$475,18,0)</f>
        <v>16000</v>
      </c>
      <c r="K189" t="s">
        <v>32</v>
      </c>
      <c r="L189" s="60" t="e">
        <f>VLOOKUP(C189,'SALARY DETALES'!B188:C661,2,0)</f>
        <v>#N/A</v>
      </c>
      <c r="M189" t="s">
        <v>721</v>
      </c>
      <c r="N189" t="s">
        <v>212</v>
      </c>
      <c r="O189" s="62" t="str">
        <f>VLOOKUP(C189,'SALARY DETALES'!$B$2:$D$475,3,0)</f>
        <v>BW</v>
      </c>
      <c r="Q189" t="s">
        <v>983</v>
      </c>
      <c r="T189" t="s">
        <v>984</v>
      </c>
    </row>
    <row r="190" spans="2:20" x14ac:dyDescent="0.3">
      <c r="B190" s="55">
        <v>188</v>
      </c>
      <c r="C190" s="55">
        <v>6011</v>
      </c>
      <c r="D190" t="s">
        <v>719</v>
      </c>
      <c r="E190" t="s">
        <v>327</v>
      </c>
      <c r="F190" t="s">
        <v>985</v>
      </c>
      <c r="G190" s="55">
        <v>75</v>
      </c>
      <c r="H190" s="55" t="s">
        <v>1817</v>
      </c>
      <c r="J190" s="57">
        <f>VLOOKUP(C190,'SALARY DETALES'!$B$2:$S$475,18,0)</f>
        <v>30000</v>
      </c>
      <c r="K190" t="s">
        <v>321</v>
      </c>
      <c r="L190" s="60" t="e">
        <f>VLOOKUP(C190,'SALARY DETALES'!B189:C662,2,0)</f>
        <v>#N/A</v>
      </c>
      <c r="M190" t="s">
        <v>721</v>
      </c>
      <c r="N190" t="s">
        <v>326</v>
      </c>
      <c r="O190" s="62" t="str">
        <f>VLOOKUP(C190,'SALARY DETALES'!$B$2:$D$475,3,0)</f>
        <v>CCTV Officer</v>
      </c>
    </row>
    <row r="191" spans="2:20" x14ac:dyDescent="0.3">
      <c r="B191" s="55">
        <v>189</v>
      </c>
      <c r="C191" s="55">
        <v>9084</v>
      </c>
      <c r="D191" t="s">
        <v>719</v>
      </c>
      <c r="E191" t="s">
        <v>188</v>
      </c>
      <c r="F191" t="s">
        <v>986</v>
      </c>
      <c r="G191" s="55">
        <v>0</v>
      </c>
      <c r="H191" s="55" t="s">
        <v>1816</v>
      </c>
      <c r="J191" s="57">
        <f>VLOOKUP(C191,'SALARY DETALES'!$B$2:$S$475,18,0)</f>
        <v>25000</v>
      </c>
      <c r="K191" t="s">
        <v>178</v>
      </c>
      <c r="L191" s="60" t="e">
        <f>VLOOKUP(C191,'SALARY DETALES'!B190:C663,2,0)</f>
        <v>#N/A</v>
      </c>
      <c r="M191" t="s">
        <v>721</v>
      </c>
      <c r="N191" t="s">
        <v>187</v>
      </c>
      <c r="O191" s="62" t="str">
        <f>VLOOKUP(C191,'SALARY DETALES'!$B$2:$D$475,3,0)</f>
        <v>Continental</v>
      </c>
    </row>
    <row r="192" spans="2:20" x14ac:dyDescent="0.3">
      <c r="B192" s="55">
        <v>190</v>
      </c>
      <c r="C192" s="55">
        <v>7012</v>
      </c>
      <c r="D192" t="s">
        <v>719</v>
      </c>
      <c r="E192" t="s">
        <v>682</v>
      </c>
      <c r="F192" t="s">
        <v>987</v>
      </c>
      <c r="G192" s="55">
        <v>0</v>
      </c>
      <c r="H192" s="55" t="s">
        <v>1816</v>
      </c>
      <c r="J192" s="57">
        <f>VLOOKUP(C192,'SALARY DETALES'!$B$2:$S$475,18,0)</f>
        <v>35200</v>
      </c>
      <c r="K192" t="s">
        <v>667</v>
      </c>
      <c r="L192" s="60" t="str">
        <f>VLOOKUP(C192,'SALARY DETALES'!B191:C664,2,0)</f>
        <v>Tandoor</v>
      </c>
      <c r="M192" t="s">
        <v>721</v>
      </c>
      <c r="N192" t="s">
        <v>673</v>
      </c>
      <c r="O192" s="62" t="str">
        <f>VLOOKUP(C192,'SALARY DETALES'!$B$2:$D$475,3,0)</f>
        <v>CHAPATI</v>
      </c>
    </row>
    <row r="193" spans="2:20" x14ac:dyDescent="0.3">
      <c r="B193" s="55">
        <v>191</v>
      </c>
      <c r="C193" s="55">
        <v>5048</v>
      </c>
      <c r="D193" t="s">
        <v>719</v>
      </c>
      <c r="E193" t="s">
        <v>1722</v>
      </c>
      <c r="F193" t="s">
        <v>987</v>
      </c>
      <c r="G193" s="55">
        <v>0</v>
      </c>
      <c r="H193" s="55" t="s">
        <v>1817</v>
      </c>
      <c r="J193" s="57">
        <f>VLOOKUP(C193,'SALARY DETALES'!$B$2:$S$475,18,0)</f>
        <v>26400</v>
      </c>
      <c r="K193" t="s">
        <v>141</v>
      </c>
      <c r="L193" s="60" t="e">
        <f>VLOOKUP(C193,'SALARY DETALES'!B192:C665,2,0)</f>
        <v>#N/A</v>
      </c>
      <c r="M193" t="s">
        <v>721</v>
      </c>
      <c r="N193" t="s">
        <v>142</v>
      </c>
      <c r="O193" s="62" t="str">
        <f>VLOOKUP(C193,'SALARY DETALES'!$B$2:$D$475,3,0)</f>
        <v>CASHIER</v>
      </c>
      <c r="Q193" t="s">
        <v>988</v>
      </c>
      <c r="T193" t="s">
        <v>745</v>
      </c>
    </row>
    <row r="194" spans="2:20" x14ac:dyDescent="0.3">
      <c r="B194" s="55">
        <v>192</v>
      </c>
      <c r="C194" s="55">
        <v>27220</v>
      </c>
      <c r="D194" t="s">
        <v>719</v>
      </c>
      <c r="E194" t="s">
        <v>638</v>
      </c>
      <c r="F194" t="s">
        <v>989</v>
      </c>
      <c r="G194" s="55">
        <v>0</v>
      </c>
      <c r="H194" s="55" t="s">
        <v>1816</v>
      </c>
      <c r="J194" s="57">
        <f>VLOOKUP(C194,'SALARY DETALES'!$B$2:$S$475,18,0)</f>
        <v>16000</v>
      </c>
      <c r="K194" t="s">
        <v>637</v>
      </c>
      <c r="L194" s="60" t="str">
        <f>VLOOKUP(C194,'SALARY DETALES'!B193:C666,2,0)</f>
        <v>Section F2</v>
      </c>
      <c r="M194" t="s">
        <v>721</v>
      </c>
      <c r="N194" t="s">
        <v>212</v>
      </c>
      <c r="O194" s="62" t="str">
        <f>VLOOKUP(C194,'SALARY DETALES'!$B$2:$D$475,3,0)</f>
        <v>BW</v>
      </c>
      <c r="Q194" t="s">
        <v>990</v>
      </c>
    </row>
    <row r="195" spans="2:20" x14ac:dyDescent="0.3">
      <c r="B195" s="55">
        <v>193</v>
      </c>
      <c r="C195" s="55">
        <v>28024</v>
      </c>
      <c r="D195" t="s">
        <v>719</v>
      </c>
      <c r="E195" t="s">
        <v>354</v>
      </c>
      <c r="F195" t="s">
        <v>991</v>
      </c>
      <c r="G195" s="55">
        <v>30</v>
      </c>
      <c r="H195" s="55" t="s">
        <v>1817</v>
      </c>
      <c r="J195" s="57">
        <f>VLOOKUP(C195,'SALARY DETALES'!$B$2:$S$475,18,0)</f>
        <v>35000</v>
      </c>
      <c r="K195" t="s">
        <v>350</v>
      </c>
      <c r="L195" s="60" t="str">
        <f>VLOOKUP(C195,'SALARY DETALES'!B194:C667,2,0)</f>
        <v>KATAKAT</v>
      </c>
      <c r="M195" t="s">
        <v>721</v>
      </c>
      <c r="N195" t="s">
        <v>353</v>
      </c>
      <c r="O195" s="62" t="str">
        <f>VLOOKUP(C195,'SALARY DETALES'!$B$2:$D$475,3,0)</f>
        <v>Katakat Helper</v>
      </c>
      <c r="Q195" t="s">
        <v>992</v>
      </c>
    </row>
    <row r="196" spans="2:20" x14ac:dyDescent="0.3">
      <c r="B196" s="55">
        <v>194</v>
      </c>
      <c r="C196" s="55">
        <v>9085</v>
      </c>
      <c r="D196" t="s">
        <v>719</v>
      </c>
      <c r="E196" t="s">
        <v>189</v>
      </c>
      <c r="F196" t="s">
        <v>993</v>
      </c>
      <c r="G196" s="55">
        <v>0</v>
      </c>
      <c r="H196" s="55" t="s">
        <v>1816</v>
      </c>
      <c r="J196" s="57">
        <f>VLOOKUP(C196,'SALARY DETALES'!$B$2:$S$475,18,0)</f>
        <v>30000</v>
      </c>
      <c r="K196" t="s">
        <v>178</v>
      </c>
      <c r="L196" s="60" t="e">
        <f>VLOOKUP(C196,'SALARY DETALES'!B195:C668,2,0)</f>
        <v>#N/A</v>
      </c>
      <c r="M196" t="s">
        <v>721</v>
      </c>
      <c r="N196" t="s">
        <v>187</v>
      </c>
      <c r="O196" s="62" t="str">
        <f>VLOOKUP(C196,'SALARY DETALES'!$B$2:$D$475,3,0)</f>
        <v>Continental</v>
      </c>
      <c r="Q196" t="s">
        <v>994</v>
      </c>
    </row>
    <row r="197" spans="2:20" x14ac:dyDescent="0.3">
      <c r="B197" s="55">
        <v>195</v>
      </c>
      <c r="C197" s="55">
        <v>30229</v>
      </c>
      <c r="D197" t="s">
        <v>719</v>
      </c>
      <c r="E197" t="s">
        <v>644</v>
      </c>
      <c r="F197" t="s">
        <v>995</v>
      </c>
      <c r="G197" s="55">
        <v>0</v>
      </c>
      <c r="H197" s="55" t="s">
        <v>1816</v>
      </c>
      <c r="J197" s="57">
        <f>VLOOKUP(C197,'SALARY DETALES'!$B$2:$S$475,18,0)</f>
        <v>25000</v>
      </c>
      <c r="K197" t="s">
        <v>637</v>
      </c>
      <c r="L197" s="60" t="str">
        <f>VLOOKUP(C197,'SALARY DETALES'!B196:C669,2,0)</f>
        <v>Section F2</v>
      </c>
      <c r="M197" t="s">
        <v>721</v>
      </c>
      <c r="N197" t="s">
        <v>280</v>
      </c>
      <c r="O197" s="62" t="str">
        <f>VLOOKUP(C197,'SALARY DETALES'!$B$2:$D$475,3,0)</f>
        <v>OT</v>
      </c>
      <c r="Q197" t="s">
        <v>996</v>
      </c>
    </row>
    <row r="198" spans="2:20" x14ac:dyDescent="0.3">
      <c r="B198" s="55">
        <v>196</v>
      </c>
      <c r="C198" s="55">
        <v>32148</v>
      </c>
      <c r="D198" t="s">
        <v>719</v>
      </c>
      <c r="E198" t="s">
        <v>578</v>
      </c>
      <c r="F198" t="s">
        <v>997</v>
      </c>
      <c r="G198" s="55">
        <v>0</v>
      </c>
      <c r="H198" s="55" t="s">
        <v>1816</v>
      </c>
      <c r="J198" s="57">
        <f>VLOOKUP(C198,'SALARY DETALES'!$B$2:$S$475,18,0)</f>
        <v>22000</v>
      </c>
      <c r="K198" t="s">
        <v>567</v>
      </c>
      <c r="L198" s="60" t="str">
        <f>VLOOKUP(C198,'SALARY DETALES'!B197:C670,2,0)</f>
        <v>Section D #1</v>
      </c>
      <c r="M198" t="s">
        <v>721</v>
      </c>
      <c r="N198" t="s">
        <v>212</v>
      </c>
      <c r="O198" s="62" t="str">
        <f>VLOOKUP(C198,'SALARY DETALES'!$B$2:$D$475,3,0)</f>
        <v>BW</v>
      </c>
      <c r="T198" t="s">
        <v>745</v>
      </c>
    </row>
    <row r="199" spans="2:20" x14ac:dyDescent="0.3">
      <c r="B199" s="55">
        <v>197</v>
      </c>
      <c r="C199" s="55">
        <v>2062</v>
      </c>
      <c r="D199" t="s">
        <v>719</v>
      </c>
      <c r="E199" t="s">
        <v>119</v>
      </c>
      <c r="F199" t="s">
        <v>998</v>
      </c>
      <c r="G199" s="55">
        <v>0</v>
      </c>
      <c r="H199" s="55" t="s">
        <v>1816</v>
      </c>
      <c r="J199" s="57">
        <f>VLOOKUP(C199,'SALARY DETALES'!$B$2:$S$475,18,0)</f>
        <v>50000</v>
      </c>
      <c r="K199" t="s">
        <v>103</v>
      </c>
      <c r="L199" s="60" t="e">
        <f>VLOOKUP(C199,'SALARY DETALES'!B198:C671,2,0)</f>
        <v>#N/A</v>
      </c>
      <c r="M199" t="s">
        <v>721</v>
      </c>
      <c r="N199" t="s">
        <v>104</v>
      </c>
      <c r="O199" s="62" t="str">
        <f>VLOOKUP(C199,'SALARY DETALES'!$B$2:$D$475,3,0)</f>
        <v>BBQ Helper</v>
      </c>
      <c r="Q199" t="s">
        <v>999</v>
      </c>
    </row>
    <row r="200" spans="2:20" x14ac:dyDescent="0.3">
      <c r="B200" s="55">
        <v>198</v>
      </c>
      <c r="C200" s="55">
        <v>22270</v>
      </c>
      <c r="D200" t="s">
        <v>719</v>
      </c>
      <c r="E200" t="s">
        <v>441</v>
      </c>
      <c r="F200" t="s">
        <v>1000</v>
      </c>
      <c r="G200" s="55">
        <v>0</v>
      </c>
      <c r="H200" s="55" t="s">
        <v>1816</v>
      </c>
      <c r="J200" s="57">
        <f>VLOOKUP(C200,'SALARY DETALES'!$B$2:$S$475,18,0)</f>
        <v>17600</v>
      </c>
      <c r="K200" t="s">
        <v>139</v>
      </c>
      <c r="L200" s="60" t="str">
        <f>VLOOKUP(C200,'SALARY DETALES'!B199:C672,2,0)</f>
        <v>Runner</v>
      </c>
      <c r="M200" t="s">
        <v>721</v>
      </c>
      <c r="N200" t="s">
        <v>139</v>
      </c>
      <c r="O200" s="62" t="str">
        <f>VLOOKUP(C200,'SALARY DETALES'!$B$2:$D$475,3,0)</f>
        <v>Runner</v>
      </c>
    </row>
    <row r="201" spans="2:20" x14ac:dyDescent="0.3">
      <c r="B201" s="55">
        <v>199</v>
      </c>
      <c r="C201" s="55">
        <v>5026</v>
      </c>
      <c r="D201" t="s">
        <v>719</v>
      </c>
      <c r="E201" t="s">
        <v>149</v>
      </c>
      <c r="F201" t="s">
        <v>1001</v>
      </c>
      <c r="G201" s="55">
        <v>0</v>
      </c>
      <c r="H201" s="55" t="s">
        <v>1817</v>
      </c>
      <c r="J201" s="57">
        <f>VLOOKUP(C201,'SALARY DETALES'!$B$2:$S$475,18,0)</f>
        <v>26400</v>
      </c>
      <c r="K201" t="s">
        <v>141</v>
      </c>
      <c r="L201" s="60" t="e">
        <f>VLOOKUP(C201,'SALARY DETALES'!B200:C673,2,0)</f>
        <v>#N/A</v>
      </c>
      <c r="M201" t="s">
        <v>721</v>
      </c>
      <c r="N201" t="s">
        <v>142</v>
      </c>
      <c r="O201" s="62" t="str">
        <f>VLOOKUP(C201,'SALARY DETALES'!$B$2:$D$475,3,0)</f>
        <v>CASHIER</v>
      </c>
    </row>
    <row r="202" spans="2:20" x14ac:dyDescent="0.3">
      <c r="B202" s="55">
        <v>200</v>
      </c>
      <c r="C202" s="55">
        <v>5050</v>
      </c>
      <c r="D202" t="s">
        <v>719</v>
      </c>
      <c r="E202" t="s">
        <v>150</v>
      </c>
      <c r="F202" t="s">
        <v>1002</v>
      </c>
      <c r="G202" s="55">
        <v>0</v>
      </c>
      <c r="H202" s="55" t="s">
        <v>1817</v>
      </c>
      <c r="J202" s="57">
        <f>VLOOKUP(C202,'SALARY DETALES'!$B$2:$S$475,18,0)</f>
        <v>26400</v>
      </c>
      <c r="K202" t="s">
        <v>141</v>
      </c>
      <c r="L202" s="60" t="e">
        <f>VLOOKUP(C202,'SALARY DETALES'!B201:C674,2,0)</f>
        <v>#N/A</v>
      </c>
      <c r="M202" t="s">
        <v>721</v>
      </c>
      <c r="N202" t="s">
        <v>142</v>
      </c>
      <c r="O202" s="62" t="str">
        <f>VLOOKUP(C202,'SALARY DETALES'!$B$2:$D$475,3,0)</f>
        <v>CASHIER</v>
      </c>
      <c r="T202" t="s">
        <v>745</v>
      </c>
    </row>
    <row r="203" spans="2:20" x14ac:dyDescent="0.3">
      <c r="B203" s="55">
        <v>201</v>
      </c>
      <c r="C203" s="55">
        <v>12069</v>
      </c>
      <c r="D203" t="s">
        <v>719</v>
      </c>
      <c r="E203" t="s">
        <v>267</v>
      </c>
      <c r="F203" t="s">
        <v>1003</v>
      </c>
      <c r="G203" s="55">
        <v>0</v>
      </c>
      <c r="H203" s="55" t="s">
        <v>1816</v>
      </c>
      <c r="J203" s="57">
        <f>VLOOKUP(C203,'SALARY DETALES'!$B$2:$S$475,18,0)</f>
        <v>16000</v>
      </c>
      <c r="K203" t="s">
        <v>260</v>
      </c>
      <c r="L203" s="60" t="e">
        <f>VLOOKUP(C203,'SALARY DETALES'!B202:C675,2,0)</f>
        <v>#N/A</v>
      </c>
      <c r="M203" t="s">
        <v>721</v>
      </c>
      <c r="N203" t="s">
        <v>260</v>
      </c>
      <c r="O203" s="62" t="str">
        <f>VLOOKUP(C203,'SALARY DETALES'!$B$2:$D$475,3,0)</f>
        <v>Floor Wipping</v>
      </c>
      <c r="P203" t="s">
        <v>1004</v>
      </c>
      <c r="Q203" t="s">
        <v>1005</v>
      </c>
      <c r="T203" t="s">
        <v>783</v>
      </c>
    </row>
    <row r="204" spans="2:20" x14ac:dyDescent="0.3">
      <c r="B204" s="55">
        <v>202</v>
      </c>
      <c r="C204" s="55">
        <v>33172</v>
      </c>
      <c r="D204" t="s">
        <v>719</v>
      </c>
      <c r="E204" t="s">
        <v>214</v>
      </c>
      <c r="F204" t="s">
        <v>1006</v>
      </c>
      <c r="G204" s="55">
        <v>0</v>
      </c>
      <c r="H204" s="55" t="s">
        <v>1816</v>
      </c>
      <c r="J204" s="57">
        <f>VLOOKUP(C204,'SALARY DETALES'!$B$2:$S$475,18,0)</f>
        <v>16000</v>
      </c>
      <c r="K204" t="s">
        <v>32</v>
      </c>
      <c r="L204" s="60" t="e">
        <f>VLOOKUP(C204,'SALARY DETALES'!B203:C676,2,0)</f>
        <v>#N/A</v>
      </c>
      <c r="M204" t="s">
        <v>721</v>
      </c>
      <c r="N204" t="s">
        <v>212</v>
      </c>
      <c r="O204" s="62" t="str">
        <f>VLOOKUP(C204,'SALARY DETALES'!$B$2:$D$475,3,0)</f>
        <v>BW</v>
      </c>
      <c r="P204" t="s">
        <v>1007</v>
      </c>
      <c r="Q204" t="s">
        <v>1008</v>
      </c>
      <c r="T204" t="s">
        <v>1009</v>
      </c>
    </row>
    <row r="205" spans="2:20" x14ac:dyDescent="0.3">
      <c r="B205" s="55">
        <v>203</v>
      </c>
      <c r="C205" s="55">
        <v>1031</v>
      </c>
      <c r="D205" t="s">
        <v>719</v>
      </c>
      <c r="E205" t="s">
        <v>90</v>
      </c>
      <c r="F205" t="s">
        <v>1010</v>
      </c>
      <c r="G205" s="55">
        <v>45</v>
      </c>
      <c r="H205" s="55" t="s">
        <v>1817</v>
      </c>
      <c r="J205" s="57">
        <f>VLOOKUP(C205,'SALARY DETALES'!$B$2:$S$475,18,0)</f>
        <v>30000</v>
      </c>
      <c r="K205" t="s">
        <v>80</v>
      </c>
      <c r="L205" s="60" t="e">
        <f>VLOOKUP(C205,'SALARY DETALES'!B204:C677,2,0)</f>
        <v>#N/A</v>
      </c>
      <c r="M205" t="s">
        <v>721</v>
      </c>
      <c r="N205" t="s">
        <v>89</v>
      </c>
      <c r="O205" s="62" t="str">
        <f>VLOOKUP(C205,'SALARY DETALES'!$B$2:$D$475,3,0)</f>
        <v>ASSEMBLER</v>
      </c>
      <c r="P205" t="s">
        <v>1011</v>
      </c>
      <c r="Q205" t="s">
        <v>1012</v>
      </c>
    </row>
    <row r="206" spans="2:20" x14ac:dyDescent="0.3">
      <c r="B206" s="55">
        <v>204</v>
      </c>
      <c r="C206" s="55">
        <v>32157</v>
      </c>
      <c r="D206" t="s">
        <v>741</v>
      </c>
      <c r="E206" t="s">
        <v>579</v>
      </c>
      <c r="F206" t="s">
        <v>1013</v>
      </c>
      <c r="G206" s="55">
        <v>0</v>
      </c>
      <c r="H206" s="55" t="s">
        <v>1816</v>
      </c>
      <c r="J206" s="57">
        <f>VLOOKUP(C206,'SALARY DETALES'!$B$2:$S$475,18,0)</f>
        <v>16000</v>
      </c>
      <c r="K206" t="s">
        <v>567</v>
      </c>
      <c r="L206" s="60" t="str">
        <f>VLOOKUP(C206,'SALARY DETALES'!B205:C678,2,0)</f>
        <v>Section D #1</v>
      </c>
      <c r="M206" t="s">
        <v>721</v>
      </c>
      <c r="N206" t="s">
        <v>212</v>
      </c>
      <c r="O206" s="62" t="str">
        <f>VLOOKUP(C206,'SALARY DETALES'!$B$2:$D$475,3,0)</f>
        <v>BW</v>
      </c>
      <c r="P206" t="s">
        <v>1014</v>
      </c>
      <c r="Q206" t="s">
        <v>1015</v>
      </c>
    </row>
    <row r="207" spans="2:20" x14ac:dyDescent="0.3">
      <c r="B207" s="55">
        <v>205</v>
      </c>
      <c r="C207" s="55">
        <v>32160</v>
      </c>
      <c r="D207" t="s">
        <v>741</v>
      </c>
      <c r="E207" t="s">
        <v>493</v>
      </c>
      <c r="F207" t="s">
        <v>1016</v>
      </c>
      <c r="G207" s="55">
        <v>0</v>
      </c>
      <c r="H207" s="55" t="s">
        <v>1816</v>
      </c>
      <c r="J207" s="57">
        <f>VLOOKUP(C207,'SALARY DETALES'!$B$2:$S$475,18,0)</f>
        <v>25000</v>
      </c>
      <c r="K207" t="s">
        <v>481</v>
      </c>
      <c r="L207" s="60" t="str">
        <f>VLOOKUP(C207,'SALARY DETALES'!B206:C679,2,0)</f>
        <v>Section A #1</v>
      </c>
      <c r="M207" t="s">
        <v>721</v>
      </c>
      <c r="N207" t="s">
        <v>212</v>
      </c>
      <c r="O207" s="62" t="str">
        <f>VLOOKUP(C207,'SALARY DETALES'!$B$2:$D$475,3,0)</f>
        <v>BW</v>
      </c>
      <c r="Q207" t="s">
        <v>1017</v>
      </c>
    </row>
    <row r="208" spans="2:20" x14ac:dyDescent="0.3">
      <c r="B208" s="55">
        <v>206</v>
      </c>
      <c r="C208" s="55">
        <v>12071</v>
      </c>
      <c r="D208" t="s">
        <v>741</v>
      </c>
      <c r="E208" t="s">
        <v>461</v>
      </c>
      <c r="F208" t="s">
        <v>1018</v>
      </c>
      <c r="G208" s="55">
        <v>0</v>
      </c>
      <c r="H208" s="55" t="s">
        <v>1816</v>
      </c>
      <c r="J208" s="57">
        <f>VLOOKUP(C208,'SALARY DETALES'!$B$2:$S$475,18,0)</f>
        <v>16000</v>
      </c>
      <c r="K208" t="s">
        <v>453</v>
      </c>
      <c r="L208" s="60" t="str">
        <f>VLOOKUP(C208,'SALARY DETALES'!B207:C680,2,0)</f>
        <v>RUNNER 2</v>
      </c>
      <c r="M208" t="s">
        <v>721</v>
      </c>
      <c r="N208" t="s">
        <v>139</v>
      </c>
      <c r="O208" s="62" t="str">
        <f>VLOOKUP(C208,'SALARY DETALES'!$B$2:$D$475,3,0)</f>
        <v>Runner</v>
      </c>
    </row>
    <row r="209" spans="2:20" x14ac:dyDescent="0.3">
      <c r="B209" s="55">
        <v>207</v>
      </c>
      <c r="C209" s="55">
        <v>23024</v>
      </c>
      <c r="D209" t="s">
        <v>719</v>
      </c>
      <c r="E209" t="s">
        <v>69</v>
      </c>
      <c r="F209" t="s">
        <v>1013</v>
      </c>
      <c r="G209" s="55">
        <v>210</v>
      </c>
      <c r="H209" s="55" t="s">
        <v>1817</v>
      </c>
      <c r="J209" s="57">
        <f>VLOOKUP(C209,'SALARY DETALES'!$B$2:$S$475,18,0)</f>
        <v>38500</v>
      </c>
      <c r="K209" t="s">
        <v>59</v>
      </c>
      <c r="L209" s="60" t="e">
        <f>VLOOKUP(C209,'SALARY DETALES'!B208:C681,2,0)</f>
        <v>#N/A</v>
      </c>
      <c r="M209" t="s">
        <v>721</v>
      </c>
      <c r="N209" t="s">
        <v>68</v>
      </c>
      <c r="O209" s="62" t="str">
        <f>VLOOKUP(C209,'SALARY DETALES'!$B$2:$D$475,3,0)</f>
        <v>HR Officer</v>
      </c>
      <c r="P209" t="s">
        <v>1019</v>
      </c>
      <c r="Q209" t="s">
        <v>1020</v>
      </c>
    </row>
    <row r="210" spans="2:20" x14ac:dyDescent="0.3">
      <c r="B210" s="55">
        <v>208</v>
      </c>
      <c r="C210" s="55">
        <v>8060</v>
      </c>
      <c r="D210" t="s">
        <v>719</v>
      </c>
      <c r="E210" t="s">
        <v>152</v>
      </c>
      <c r="F210" t="s">
        <v>1021</v>
      </c>
      <c r="G210" s="55">
        <v>0</v>
      </c>
      <c r="H210" s="55" t="s">
        <v>1817</v>
      </c>
      <c r="J210" s="57">
        <f>VLOOKUP(C210,'SALARY DETALES'!$B$2:$S$475,18,0)</f>
        <v>24000</v>
      </c>
      <c r="K210" t="s">
        <v>141</v>
      </c>
      <c r="L210" s="60" t="e">
        <f>VLOOKUP(C210,'SALARY DETALES'!B209:C682,2,0)</f>
        <v>#N/A</v>
      </c>
      <c r="M210" t="s">
        <v>721</v>
      </c>
      <c r="N210" t="s">
        <v>151</v>
      </c>
      <c r="O210" s="62" t="str">
        <f>VLOOKUP(C210,'SALARY DETALES'!$B$2:$D$475,3,0)</f>
        <v>Casher</v>
      </c>
      <c r="Q210" t="s">
        <v>1022</v>
      </c>
      <c r="S210" t="s">
        <v>1023</v>
      </c>
    </row>
    <row r="211" spans="2:20" x14ac:dyDescent="0.3">
      <c r="B211" s="55">
        <v>209</v>
      </c>
      <c r="C211" s="55">
        <v>23026</v>
      </c>
      <c r="D211" t="s">
        <v>719</v>
      </c>
      <c r="E211" t="s">
        <v>71</v>
      </c>
      <c r="F211" t="s">
        <v>1024</v>
      </c>
      <c r="G211" s="55">
        <v>210</v>
      </c>
      <c r="H211" s="55" t="s">
        <v>1817</v>
      </c>
      <c r="J211" s="57">
        <f>VLOOKUP(C211,'SALARY DETALES'!$B$2:$S$475,18,0)</f>
        <v>70000</v>
      </c>
      <c r="K211" t="s">
        <v>59</v>
      </c>
      <c r="L211" s="60" t="e">
        <f>VLOOKUP(C211,'SALARY DETALES'!B210:C683,2,0)</f>
        <v>#N/A</v>
      </c>
      <c r="M211" t="s">
        <v>1025</v>
      </c>
      <c r="N211" t="s">
        <v>70</v>
      </c>
      <c r="O211" s="62" t="str">
        <f>VLOOKUP(C211,'SALARY DETALES'!$B$2:$D$475,3,0)</f>
        <v>Supervisor</v>
      </c>
      <c r="Q211" t="s">
        <v>1026</v>
      </c>
    </row>
    <row r="212" spans="2:20" x14ac:dyDescent="0.3">
      <c r="B212" s="55">
        <v>210</v>
      </c>
      <c r="C212" s="55">
        <v>14074</v>
      </c>
      <c r="D212" t="s">
        <v>719</v>
      </c>
      <c r="E212" t="s">
        <v>298</v>
      </c>
      <c r="F212" t="s">
        <v>1027</v>
      </c>
      <c r="G212" s="55">
        <v>60</v>
      </c>
      <c r="H212" s="55" t="s">
        <v>1817</v>
      </c>
      <c r="J212" s="57">
        <f>VLOOKUP(C212,'SALARY DETALES'!$B$2:$S$475,18,0)</f>
        <v>28000</v>
      </c>
      <c r="K212" t="s">
        <v>286</v>
      </c>
      <c r="L212" s="60" t="e">
        <f>VLOOKUP(C212,'SALARY DETALES'!B211:C684,2,0)</f>
        <v>#N/A</v>
      </c>
      <c r="M212" t="s">
        <v>721</v>
      </c>
      <c r="N212" t="s">
        <v>286</v>
      </c>
      <c r="O212" s="62" t="str">
        <f>VLOOKUP(C212,'SALARY DETALES'!$B$2:$D$475,3,0)</f>
        <v>GRO</v>
      </c>
      <c r="P212" t="s">
        <v>1028</v>
      </c>
      <c r="Q212" t="s">
        <v>1029</v>
      </c>
      <c r="T212" t="s">
        <v>1030</v>
      </c>
    </row>
    <row r="213" spans="2:20" x14ac:dyDescent="0.3">
      <c r="B213" s="55">
        <v>211</v>
      </c>
      <c r="C213" s="55">
        <v>16048</v>
      </c>
      <c r="D213" t="s">
        <v>741</v>
      </c>
      <c r="E213" t="s">
        <v>344</v>
      </c>
      <c r="F213" t="s">
        <v>1031</v>
      </c>
      <c r="G213" s="55">
        <v>0</v>
      </c>
      <c r="H213" s="55" t="s">
        <v>1816</v>
      </c>
      <c r="J213" s="57">
        <f>VLOOKUP(C213,'SALARY DETALES'!$B$2:$S$475,18,0)</f>
        <v>25000</v>
      </c>
      <c r="K213" t="s">
        <v>332</v>
      </c>
      <c r="L213" s="60" t="e">
        <f>VLOOKUP(C213,'SALARY DETALES'!B212:C685,2,0)</f>
        <v>#N/A</v>
      </c>
      <c r="M213" t="s">
        <v>721</v>
      </c>
      <c r="N213" t="s">
        <v>343</v>
      </c>
      <c r="O213" s="62" t="str">
        <f>VLOOKUP(C213,'SALARY DETALES'!$B$2:$D$475,3,0)</f>
        <v>Karhai Cook</v>
      </c>
      <c r="P213" t="s">
        <v>1032</v>
      </c>
      <c r="Q213" t="s">
        <v>1033</v>
      </c>
    </row>
    <row r="214" spans="2:20" x14ac:dyDescent="0.3">
      <c r="B214" s="55">
        <v>212</v>
      </c>
      <c r="C214" s="55">
        <v>14077</v>
      </c>
      <c r="D214" t="s">
        <v>719</v>
      </c>
      <c r="E214" t="s">
        <v>288</v>
      </c>
      <c r="F214" t="s">
        <v>1034</v>
      </c>
      <c r="G214" s="55">
        <v>405</v>
      </c>
      <c r="H214" s="55" t="s">
        <v>1817</v>
      </c>
      <c r="J214" s="57">
        <f>VLOOKUP(C214,'SALARY DETALES'!$B$2:$S$475,18,0)</f>
        <v>28000</v>
      </c>
      <c r="K214" t="s">
        <v>286</v>
      </c>
      <c r="L214" s="60" t="e">
        <f>VLOOKUP(C214,'SALARY DETALES'!B213:C686,2,0)</f>
        <v>#N/A</v>
      </c>
      <c r="M214" t="s">
        <v>721</v>
      </c>
      <c r="N214" t="s">
        <v>286</v>
      </c>
      <c r="O214" s="62" t="str">
        <f>VLOOKUP(C214,'SALARY DETALES'!$B$2:$D$475,3,0)</f>
        <v>GRO</v>
      </c>
      <c r="P214" t="s">
        <v>1035</v>
      </c>
      <c r="Q214" t="s">
        <v>1036</v>
      </c>
    </row>
    <row r="215" spans="2:20" x14ac:dyDescent="0.3">
      <c r="B215" s="55">
        <v>213</v>
      </c>
      <c r="C215" s="55">
        <v>16049</v>
      </c>
      <c r="D215" t="s">
        <v>741</v>
      </c>
      <c r="E215" t="s">
        <v>346</v>
      </c>
      <c r="F215" t="s">
        <v>1037</v>
      </c>
      <c r="G215" s="55">
        <v>0</v>
      </c>
      <c r="H215" s="55" t="s">
        <v>1816</v>
      </c>
      <c r="J215" s="57">
        <f>VLOOKUP(C215,'SALARY DETALES'!$B$2:$S$475,18,0)</f>
        <v>25000</v>
      </c>
      <c r="K215" t="s">
        <v>332</v>
      </c>
      <c r="L215" s="60" t="e">
        <f>VLOOKUP(C215,'SALARY DETALES'!B214:C687,2,0)</f>
        <v>#N/A</v>
      </c>
      <c r="M215" t="s">
        <v>721</v>
      </c>
      <c r="N215" t="s">
        <v>345</v>
      </c>
      <c r="O215" s="62" t="str">
        <f>VLOOKUP(C215,'SALARY DETALES'!$B$2:$D$475,3,0)</f>
        <v>KARHAI HELPER</v>
      </c>
      <c r="P215" t="s">
        <v>1038</v>
      </c>
      <c r="Q215" t="s">
        <v>1039</v>
      </c>
      <c r="T215" t="s">
        <v>885</v>
      </c>
    </row>
    <row r="216" spans="2:20" x14ac:dyDescent="0.3">
      <c r="B216" s="55">
        <v>214</v>
      </c>
      <c r="C216" s="55">
        <v>27225</v>
      </c>
      <c r="D216" t="s">
        <v>741</v>
      </c>
      <c r="E216" t="s">
        <v>485</v>
      </c>
      <c r="F216" t="s">
        <v>1040</v>
      </c>
      <c r="G216" s="55">
        <v>0</v>
      </c>
      <c r="H216" s="55" t="s">
        <v>1816</v>
      </c>
      <c r="J216" s="57">
        <f>VLOOKUP(C216,'SALARY DETALES'!$B$2:$S$475,18,0)</f>
        <v>16000</v>
      </c>
      <c r="K216" t="s">
        <v>481</v>
      </c>
      <c r="L216" s="60" t="str">
        <f>VLOOKUP(C216,'SALARY DETALES'!B215:C688,2,0)</f>
        <v>Section A #1</v>
      </c>
      <c r="M216" t="s">
        <v>721</v>
      </c>
      <c r="N216" t="s">
        <v>484</v>
      </c>
      <c r="O216" s="62" t="str">
        <f>VLOOKUP(C216,'SALARY DETALES'!$B$2:$D$475,3,0)</f>
        <v>BW/A</v>
      </c>
      <c r="P216" t="s">
        <v>1041</v>
      </c>
      <c r="Q216" t="s">
        <v>1042</v>
      </c>
    </row>
    <row r="217" spans="2:20" x14ac:dyDescent="0.3">
      <c r="B217" s="55">
        <v>215</v>
      </c>
      <c r="C217" s="55">
        <v>9089</v>
      </c>
      <c r="D217" t="s">
        <v>741</v>
      </c>
      <c r="E217" t="s">
        <v>191</v>
      </c>
      <c r="F217" t="s">
        <v>1043</v>
      </c>
      <c r="G217" s="55">
        <v>0</v>
      </c>
      <c r="H217" s="55" t="s">
        <v>1816</v>
      </c>
      <c r="J217" s="57">
        <f>VLOOKUP(C217,'SALARY DETALES'!$B$2:$S$475,18,0)</f>
        <v>22000</v>
      </c>
      <c r="K217" t="s">
        <v>178</v>
      </c>
      <c r="L217" s="60" t="e">
        <f>VLOOKUP(C217,'SALARY DETALES'!B216:C689,2,0)</f>
        <v>#N/A</v>
      </c>
      <c r="M217" t="s">
        <v>721</v>
      </c>
      <c r="N217" t="s">
        <v>190</v>
      </c>
      <c r="O217" s="62" t="str">
        <f>VLOOKUP(C217,'SALARY DETALES'!$B$2:$D$475,3,0)</f>
        <v>Helper</v>
      </c>
      <c r="P217" t="s">
        <v>1044</v>
      </c>
      <c r="Q217" t="s">
        <v>1045</v>
      </c>
    </row>
    <row r="218" spans="2:20" x14ac:dyDescent="0.3">
      <c r="B218" s="55">
        <v>216</v>
      </c>
      <c r="C218" s="55">
        <v>28153</v>
      </c>
      <c r="D218" t="s">
        <v>741</v>
      </c>
      <c r="E218" t="s">
        <v>539</v>
      </c>
      <c r="F218" t="s">
        <v>876</v>
      </c>
      <c r="G218" s="55">
        <v>0</v>
      </c>
      <c r="H218" s="55" t="s">
        <v>1816</v>
      </c>
      <c r="J218" s="57">
        <f>VLOOKUP(C218,'SALARY DETALES'!$B$2:$S$475,18,0)</f>
        <v>25000</v>
      </c>
      <c r="K218" t="s">
        <v>528</v>
      </c>
      <c r="L218" s="60" t="str">
        <f>VLOOKUP(C218,'SALARY DETALES'!B217:C690,2,0)</f>
        <v>Section B #1</v>
      </c>
      <c r="M218" t="s">
        <v>721</v>
      </c>
      <c r="N218" t="s">
        <v>538</v>
      </c>
      <c r="O218" s="62" t="str">
        <f>VLOOKUP(C218,'SALARY DETALES'!$B$2:$D$475,3,0)</f>
        <v>BW/B</v>
      </c>
      <c r="P218" t="s">
        <v>1046</v>
      </c>
      <c r="Q218" t="s">
        <v>1047</v>
      </c>
    </row>
    <row r="219" spans="2:20" x14ac:dyDescent="0.3">
      <c r="B219" s="55">
        <v>217</v>
      </c>
      <c r="C219" s="55">
        <v>28154</v>
      </c>
      <c r="D219" t="s">
        <v>741</v>
      </c>
      <c r="E219" t="s">
        <v>540</v>
      </c>
      <c r="F219" t="s">
        <v>876</v>
      </c>
      <c r="G219" s="55">
        <v>0</v>
      </c>
      <c r="H219" s="55" t="s">
        <v>1816</v>
      </c>
      <c r="J219" s="57">
        <f>VLOOKUP(C219,'SALARY DETALES'!$B$2:$S$475,18,0)</f>
        <v>20000</v>
      </c>
      <c r="K219" t="s">
        <v>528</v>
      </c>
      <c r="L219" s="60" t="str">
        <f>VLOOKUP(C219,'SALARY DETALES'!B218:C691,2,0)</f>
        <v>Section B #1</v>
      </c>
      <c r="M219" t="s">
        <v>721</v>
      </c>
      <c r="N219" t="s">
        <v>538</v>
      </c>
      <c r="O219" s="62" t="str">
        <f>VLOOKUP(C219,'SALARY DETALES'!$B$2:$D$475,3,0)</f>
        <v>BW/B</v>
      </c>
      <c r="P219" t="s">
        <v>1048</v>
      </c>
      <c r="Q219" t="s">
        <v>1049</v>
      </c>
    </row>
    <row r="220" spans="2:20" x14ac:dyDescent="0.3">
      <c r="B220" s="55">
        <v>218</v>
      </c>
      <c r="C220" s="55">
        <v>9091</v>
      </c>
      <c r="D220" t="s">
        <v>741</v>
      </c>
      <c r="E220" t="s">
        <v>192</v>
      </c>
      <c r="F220" t="s">
        <v>1050</v>
      </c>
      <c r="G220" s="55">
        <v>0</v>
      </c>
      <c r="H220" s="55" t="s">
        <v>1816</v>
      </c>
      <c r="J220" s="57">
        <f>VLOOKUP(C220,'SALARY DETALES'!$B$2:$S$475,18,0)</f>
        <v>30000</v>
      </c>
      <c r="K220" t="s">
        <v>178</v>
      </c>
      <c r="L220" s="60" t="e">
        <f>VLOOKUP(C220,'SALARY DETALES'!B219:C692,2,0)</f>
        <v>#N/A</v>
      </c>
      <c r="M220" t="s">
        <v>721</v>
      </c>
      <c r="N220" t="s">
        <v>190</v>
      </c>
      <c r="O220" s="62" t="str">
        <f>VLOOKUP(C220,'SALARY DETALES'!$B$2:$D$475,3,0)</f>
        <v>Helper</v>
      </c>
      <c r="P220" t="s">
        <v>1051</v>
      </c>
      <c r="Q220" t="s">
        <v>1052</v>
      </c>
    </row>
    <row r="221" spans="2:20" x14ac:dyDescent="0.3">
      <c r="B221" s="55">
        <v>219</v>
      </c>
      <c r="C221" s="55">
        <v>5051</v>
      </c>
      <c r="D221" t="s">
        <v>741</v>
      </c>
      <c r="E221" t="s">
        <v>56</v>
      </c>
      <c r="F221" t="s">
        <v>1053</v>
      </c>
      <c r="G221" s="55">
        <v>0</v>
      </c>
      <c r="H221" s="55" t="s">
        <v>1817</v>
      </c>
      <c r="J221" s="57">
        <f>VLOOKUP(C221,'SALARY DETALES'!$B$2:$S$475,18,0)</f>
        <v>140000</v>
      </c>
      <c r="K221" t="s">
        <v>51</v>
      </c>
      <c r="L221" s="60" t="e">
        <f>VLOOKUP(C221,'SALARY DETALES'!B220:C693,2,0)</f>
        <v>#N/A</v>
      </c>
      <c r="M221" t="s">
        <v>721</v>
      </c>
      <c r="N221" t="s">
        <v>55</v>
      </c>
      <c r="O221" s="62" t="str">
        <f>VLOOKUP(C221,'SALARY DETALES'!$B$2:$D$475,3,0)</f>
        <v>Finance Manager</v>
      </c>
      <c r="P221" t="s">
        <v>1054</v>
      </c>
      <c r="Q221" t="s">
        <v>1055</v>
      </c>
    </row>
    <row r="222" spans="2:20" x14ac:dyDescent="0.3">
      <c r="B222" s="55">
        <v>220</v>
      </c>
      <c r="C222" s="55">
        <v>23030</v>
      </c>
      <c r="D222" t="s">
        <v>741</v>
      </c>
      <c r="E222" t="s">
        <v>254</v>
      </c>
      <c r="F222" t="s">
        <v>1056</v>
      </c>
      <c r="G222" s="55">
        <v>0</v>
      </c>
      <c r="H222" s="55" t="s">
        <v>1816</v>
      </c>
      <c r="J222" s="57">
        <f>VLOOKUP(C222,'SALARY DETALES'!$B$2:$S$475,18,0)</f>
        <v>55000</v>
      </c>
      <c r="K222" t="s">
        <v>234</v>
      </c>
      <c r="L222" s="60" t="e">
        <f>VLOOKUP(C222,'SALARY DETALES'!B221:C694,2,0)</f>
        <v>#N/A</v>
      </c>
      <c r="M222" t="s">
        <v>721</v>
      </c>
      <c r="N222" t="s">
        <v>253</v>
      </c>
      <c r="O222" s="62" t="str">
        <f>VLOOKUP(C222,'SALARY DETALES'!$B$2:$D$475,3,0)</f>
        <v>Sec Manager</v>
      </c>
      <c r="P222" t="s">
        <v>1057</v>
      </c>
      <c r="Q222" t="s">
        <v>1058</v>
      </c>
      <c r="T222" t="s">
        <v>1059</v>
      </c>
    </row>
    <row r="223" spans="2:20" x14ac:dyDescent="0.3">
      <c r="B223" s="55">
        <v>221</v>
      </c>
      <c r="C223" s="55">
        <v>28158</v>
      </c>
      <c r="D223" t="s">
        <v>741</v>
      </c>
      <c r="E223" t="s">
        <v>541</v>
      </c>
      <c r="F223" t="s">
        <v>1060</v>
      </c>
      <c r="G223" s="55">
        <v>0</v>
      </c>
      <c r="H223" s="55" t="s">
        <v>1816</v>
      </c>
      <c r="J223" s="57">
        <f>VLOOKUP(C223,'SALARY DETALES'!$B$2:$S$475,18,0)</f>
        <v>20000</v>
      </c>
      <c r="K223" t="s">
        <v>528</v>
      </c>
      <c r="L223" s="60" t="str">
        <f>VLOOKUP(C223,'SALARY DETALES'!B222:C695,2,0)</f>
        <v>Section B #1</v>
      </c>
      <c r="M223" t="s">
        <v>721</v>
      </c>
      <c r="N223" t="s">
        <v>538</v>
      </c>
      <c r="O223" s="62" t="str">
        <f>VLOOKUP(C223,'SALARY DETALES'!$B$2:$D$475,3,0)</f>
        <v>BW/B</v>
      </c>
      <c r="P223" t="s">
        <v>1061</v>
      </c>
      <c r="Q223" t="s">
        <v>1062</v>
      </c>
    </row>
    <row r="224" spans="2:20" x14ac:dyDescent="0.3">
      <c r="B224" s="55">
        <v>222</v>
      </c>
      <c r="C224" s="55">
        <v>23031</v>
      </c>
      <c r="D224" t="s">
        <v>741</v>
      </c>
      <c r="E224" t="s">
        <v>255</v>
      </c>
      <c r="F224" t="s">
        <v>1063</v>
      </c>
      <c r="G224" s="55">
        <v>0</v>
      </c>
      <c r="H224" s="55" t="s">
        <v>1816</v>
      </c>
      <c r="J224" s="57">
        <f>VLOOKUP(C224,'SALARY DETALES'!$B$2:$S$475,18,0)</f>
        <v>55000</v>
      </c>
      <c r="K224" t="s">
        <v>234</v>
      </c>
      <c r="L224" s="60" t="e">
        <f>VLOOKUP(C224,'SALARY DETALES'!B223:C696,2,0)</f>
        <v>#N/A</v>
      </c>
      <c r="M224" t="s">
        <v>721</v>
      </c>
      <c r="N224" t="s">
        <v>253</v>
      </c>
      <c r="O224" s="62" t="str">
        <f>VLOOKUP(C224,'SALARY DETALES'!$B$2:$D$475,3,0)</f>
        <v>Sec Manager</v>
      </c>
      <c r="P224" t="s">
        <v>1064</v>
      </c>
      <c r="Q224" t="s">
        <v>1065</v>
      </c>
    </row>
    <row r="225" spans="2:20" x14ac:dyDescent="0.3">
      <c r="B225" s="55">
        <v>223</v>
      </c>
      <c r="C225" s="55">
        <v>32169</v>
      </c>
      <c r="D225" t="s">
        <v>741</v>
      </c>
      <c r="E225" t="s">
        <v>581</v>
      </c>
      <c r="F225" t="s">
        <v>1066</v>
      </c>
      <c r="G225" s="55">
        <v>0</v>
      </c>
      <c r="H225" s="55" t="s">
        <v>1816</v>
      </c>
      <c r="J225" s="57">
        <f>VLOOKUP(C225,'SALARY DETALES'!$B$2:$S$475,18,0)</f>
        <v>16000</v>
      </c>
      <c r="K225" t="s">
        <v>580</v>
      </c>
      <c r="L225" s="60" t="str">
        <f>VLOOKUP(C225,'SALARY DETALES'!B224:C697,2,0)</f>
        <v>Section D #2</v>
      </c>
      <c r="M225" t="s">
        <v>721</v>
      </c>
      <c r="N225" t="s">
        <v>223</v>
      </c>
      <c r="O225" s="62" t="str">
        <f>VLOOKUP(C225,'SALARY DETALES'!$B$2:$D$475,3,0)</f>
        <v>BW/D</v>
      </c>
      <c r="P225" t="s">
        <v>1067</v>
      </c>
      <c r="Q225" t="s">
        <v>1068</v>
      </c>
    </row>
    <row r="226" spans="2:20" x14ac:dyDescent="0.3">
      <c r="B226" s="55">
        <v>224</v>
      </c>
      <c r="C226" s="55">
        <v>21023</v>
      </c>
      <c r="D226" t="s">
        <v>741</v>
      </c>
      <c r="E226" t="s">
        <v>475</v>
      </c>
      <c r="F226" t="s">
        <v>1066</v>
      </c>
      <c r="G226" s="55">
        <v>0</v>
      </c>
      <c r="H226" s="55" t="s">
        <v>1816</v>
      </c>
      <c r="J226" s="57">
        <f>VLOOKUP(C226,'SALARY DETALES'!$B$2:$S$475,18,0)</f>
        <v>25000</v>
      </c>
      <c r="K226" t="s">
        <v>472</v>
      </c>
      <c r="L226" s="60" t="str">
        <f>VLOOKUP(C226,'SALARY DETALES'!B225:C698,2,0)</f>
        <v>SALAD BAR</v>
      </c>
      <c r="M226" t="s">
        <v>721</v>
      </c>
      <c r="N226" t="s">
        <v>190</v>
      </c>
      <c r="O226" s="62" t="str">
        <f>VLOOKUP(C226,'SALARY DETALES'!$B$2:$D$475,3,0)</f>
        <v>Helper</v>
      </c>
      <c r="P226" t="s">
        <v>1069</v>
      </c>
      <c r="Q226" t="s">
        <v>1070</v>
      </c>
      <c r="T226" t="s">
        <v>1071</v>
      </c>
    </row>
    <row r="227" spans="2:20" x14ac:dyDescent="0.3">
      <c r="B227" s="55">
        <v>225</v>
      </c>
      <c r="C227" s="55">
        <v>33036</v>
      </c>
      <c r="D227" t="s">
        <v>741</v>
      </c>
      <c r="E227" t="s">
        <v>299</v>
      </c>
      <c r="F227" t="s">
        <v>1072</v>
      </c>
      <c r="G227" s="55">
        <v>405</v>
      </c>
      <c r="H227" s="55" t="s">
        <v>1817</v>
      </c>
      <c r="J227" s="57">
        <f>VLOOKUP(C227,'SALARY DETALES'!$B$2:$S$475,18,0)</f>
        <v>28000</v>
      </c>
      <c r="K227" t="s">
        <v>286</v>
      </c>
      <c r="L227" s="60" t="e">
        <f>VLOOKUP(C227,'SALARY DETALES'!B226:C699,2,0)</f>
        <v>#N/A</v>
      </c>
      <c r="M227" t="s">
        <v>721</v>
      </c>
      <c r="N227" t="s">
        <v>286</v>
      </c>
      <c r="O227" s="62" t="str">
        <f>VLOOKUP(C227,'SALARY DETALES'!$B$2:$D$475,3,0)</f>
        <v>GRO</v>
      </c>
    </row>
    <row r="228" spans="2:20" hidden="1" x14ac:dyDescent="0.3">
      <c r="B228" s="55">
        <v>226</v>
      </c>
      <c r="C228" s="55">
        <v>45221</v>
      </c>
      <c r="D228" t="s">
        <v>741</v>
      </c>
      <c r="E228" t="s">
        <v>1723</v>
      </c>
      <c r="F228" t="s">
        <v>1040</v>
      </c>
      <c r="G228" s="55">
        <v>0</v>
      </c>
      <c r="H228" s="55" t="s">
        <v>1816</v>
      </c>
      <c r="J228" s="57" t="e">
        <f>VLOOKUP(C228,'SALARY DETALES'!$B$2:$S$475,18,0)</f>
        <v>#N/A</v>
      </c>
      <c r="K228" t="s">
        <v>915</v>
      </c>
      <c r="L228" s="60" t="e">
        <f>VLOOKUP(C228,'SALARY DETALES'!B227:C700,2,0)</f>
        <v>#N/A</v>
      </c>
      <c r="M228" t="s">
        <v>721</v>
      </c>
      <c r="N228" t="s">
        <v>1073</v>
      </c>
      <c r="O228" s="62" t="e">
        <f>VLOOKUP(C228,'SALARY DETALES'!$B$2:$D$475,3,0)</f>
        <v>#N/A</v>
      </c>
    </row>
    <row r="229" spans="2:20" x14ac:dyDescent="0.3">
      <c r="B229" s="55">
        <v>227</v>
      </c>
      <c r="C229" s="55">
        <v>80326</v>
      </c>
      <c r="D229" t="s">
        <v>741</v>
      </c>
      <c r="E229" t="s">
        <v>153</v>
      </c>
      <c r="F229" t="s">
        <v>1074</v>
      </c>
      <c r="G229" s="55">
        <v>0</v>
      </c>
      <c r="H229" s="55" t="s">
        <v>1817</v>
      </c>
      <c r="J229" s="57">
        <f>VLOOKUP(C229,'SALARY DETALES'!$B$2:$S$475,18,0)</f>
        <v>24000</v>
      </c>
      <c r="K229" t="s">
        <v>141</v>
      </c>
      <c r="L229" s="60" t="e">
        <f>VLOOKUP(C229,'SALARY DETALES'!B228:C701,2,0)</f>
        <v>#N/A</v>
      </c>
      <c r="M229" t="s">
        <v>721</v>
      </c>
      <c r="N229" t="s">
        <v>142</v>
      </c>
      <c r="O229" s="62" t="str">
        <f>VLOOKUP(C229,'SALARY DETALES'!$B$2:$D$475,3,0)</f>
        <v>CASHIER</v>
      </c>
      <c r="Q229" t="s">
        <v>1075</v>
      </c>
    </row>
    <row r="230" spans="2:20" x14ac:dyDescent="0.3">
      <c r="B230" s="55">
        <v>228</v>
      </c>
      <c r="C230" s="55">
        <v>80328</v>
      </c>
      <c r="D230" t="s">
        <v>741</v>
      </c>
      <c r="E230" t="s">
        <v>73</v>
      </c>
      <c r="F230" t="s">
        <v>1076</v>
      </c>
      <c r="G230" s="55">
        <v>210</v>
      </c>
      <c r="H230" s="55" t="s">
        <v>1817</v>
      </c>
      <c r="J230" s="57">
        <f>VLOOKUP(C230,'SALARY DETALES'!$B$2:$S$475,18,0)</f>
        <v>65000</v>
      </c>
      <c r="K230" t="s">
        <v>59</v>
      </c>
      <c r="L230" s="60" t="e">
        <f>VLOOKUP(C230,'SALARY DETALES'!B229:C702,2,0)</f>
        <v>#N/A</v>
      </c>
      <c r="M230" t="s">
        <v>721</v>
      </c>
      <c r="N230" t="s">
        <v>72</v>
      </c>
      <c r="O230" s="62" t="str">
        <f>VLOOKUP(C230,'SALARY DETALES'!$B$2:$D$475,3,0)</f>
        <v>HR Manager</v>
      </c>
      <c r="P230" t="s">
        <v>1077</v>
      </c>
      <c r="Q230" t="s">
        <v>1078</v>
      </c>
    </row>
    <row r="231" spans="2:20" x14ac:dyDescent="0.3">
      <c r="B231" s="55">
        <v>229</v>
      </c>
      <c r="C231" s="55">
        <v>80331</v>
      </c>
      <c r="D231" t="s">
        <v>741</v>
      </c>
      <c r="E231" t="s">
        <v>661</v>
      </c>
      <c r="F231" t="s">
        <v>1079</v>
      </c>
      <c r="G231" s="55">
        <v>76</v>
      </c>
      <c r="H231" s="55" t="s">
        <v>1817</v>
      </c>
      <c r="J231" s="57">
        <f>VLOOKUP(C231,'SALARY DETALES'!$B$2:$S$475,18,0)</f>
        <v>30000</v>
      </c>
      <c r="K231" t="s">
        <v>654</v>
      </c>
      <c r="L231" s="60" t="str">
        <f>VLOOKUP(C231,'SALARY DETALES'!B230:C703,2,0)</f>
        <v>STORE</v>
      </c>
      <c r="M231" t="s">
        <v>721</v>
      </c>
      <c r="N231" t="s">
        <v>660</v>
      </c>
      <c r="O231" s="62" t="str">
        <f>VLOOKUP(C231,'SALARY DETALES'!$B$2:$D$475,3,0)</f>
        <v>STORE KEEPAR</v>
      </c>
      <c r="P231" t="s">
        <v>1080</v>
      </c>
      <c r="Q231" t="s">
        <v>1081</v>
      </c>
    </row>
    <row r="232" spans="2:20" x14ac:dyDescent="0.3">
      <c r="B232" s="55">
        <v>230</v>
      </c>
      <c r="C232" s="55">
        <v>80332</v>
      </c>
      <c r="D232" t="s">
        <v>741</v>
      </c>
      <c r="E232" t="s">
        <v>627</v>
      </c>
      <c r="F232" t="s">
        <v>1082</v>
      </c>
      <c r="G232" s="55">
        <v>0</v>
      </c>
      <c r="H232" s="55" t="s">
        <v>1816</v>
      </c>
      <c r="J232" s="57">
        <f>VLOOKUP(C232,'SALARY DETALES'!$B$2:$S$475,18,0)</f>
        <v>16000</v>
      </c>
      <c r="K232" t="s">
        <v>621</v>
      </c>
      <c r="L232" s="60" t="str">
        <f>VLOOKUP(C232,'SALARY DETALES'!B231:C704,2,0)</f>
        <v>Section F</v>
      </c>
      <c r="M232" t="s">
        <v>721</v>
      </c>
      <c r="N232" t="s">
        <v>602</v>
      </c>
      <c r="O232" s="62" t="str">
        <f>VLOOKUP(C232,'SALARY DETALES'!$B$2:$D$475,3,0)</f>
        <v>BW/F</v>
      </c>
      <c r="P232" t="s">
        <v>1083</v>
      </c>
      <c r="Q232" t="s">
        <v>1084</v>
      </c>
    </row>
    <row r="233" spans="2:20" x14ac:dyDescent="0.3">
      <c r="B233" s="55">
        <v>231</v>
      </c>
      <c r="C233" s="55">
        <v>80335</v>
      </c>
      <c r="D233" t="s">
        <v>741</v>
      </c>
      <c r="E233" t="s">
        <v>494</v>
      </c>
      <c r="F233" t="s">
        <v>1085</v>
      </c>
      <c r="G233" s="55">
        <v>0</v>
      </c>
      <c r="H233" s="55" t="s">
        <v>1816</v>
      </c>
      <c r="J233" s="57">
        <f>VLOOKUP(C233,'SALARY DETALES'!$B$2:$S$475,18,0)</f>
        <v>16000</v>
      </c>
      <c r="K233" t="s">
        <v>481</v>
      </c>
      <c r="L233" s="60" t="str">
        <f>VLOOKUP(C233,'SALARY DETALES'!B232:C705,2,0)</f>
        <v>Section A #1</v>
      </c>
      <c r="M233" t="s">
        <v>721</v>
      </c>
      <c r="N233" t="s">
        <v>484</v>
      </c>
      <c r="O233" s="62" t="str">
        <f>VLOOKUP(C233,'SALARY DETALES'!$B$2:$D$475,3,0)</f>
        <v>BW/A</v>
      </c>
      <c r="P233" t="s">
        <v>1086</v>
      </c>
      <c r="Q233" t="s">
        <v>1087</v>
      </c>
    </row>
    <row r="234" spans="2:20" x14ac:dyDescent="0.3">
      <c r="B234" s="55">
        <v>232</v>
      </c>
      <c r="C234" s="55">
        <v>80336</v>
      </c>
      <c r="D234" t="s">
        <v>741</v>
      </c>
      <c r="E234" t="s">
        <v>216</v>
      </c>
      <c r="F234" t="s">
        <v>858</v>
      </c>
      <c r="G234" s="55">
        <v>0</v>
      </c>
      <c r="H234" s="55" t="s">
        <v>1816</v>
      </c>
      <c r="J234" s="57">
        <f>VLOOKUP(C234,'SALARY DETALES'!$B$2:$S$475,18,0)</f>
        <v>16000</v>
      </c>
      <c r="K234" t="s">
        <v>32</v>
      </c>
      <c r="L234" s="60" t="e">
        <f>VLOOKUP(C234,'SALARY DETALES'!B233:C706,2,0)</f>
        <v>#N/A</v>
      </c>
      <c r="M234" t="s">
        <v>721</v>
      </c>
      <c r="N234" t="s">
        <v>215</v>
      </c>
      <c r="O234" s="62" t="str">
        <f>VLOOKUP(C234,'SALARY DETALES'!$B$2:$D$475,3,0)</f>
        <v>RUNNER</v>
      </c>
      <c r="P234" t="s">
        <v>1088</v>
      </c>
      <c r="Q234" t="s">
        <v>1089</v>
      </c>
    </row>
    <row r="235" spans="2:20" hidden="1" x14ac:dyDescent="0.3">
      <c r="B235" s="55">
        <v>233</v>
      </c>
      <c r="C235" s="55">
        <v>80340</v>
      </c>
      <c r="D235" t="s">
        <v>741</v>
      </c>
      <c r="E235" t="s">
        <v>250</v>
      </c>
      <c r="F235" t="s">
        <v>1090</v>
      </c>
      <c r="G235" s="55">
        <v>0</v>
      </c>
      <c r="H235" s="55" t="s">
        <v>1816</v>
      </c>
      <c r="J235" s="57" t="e">
        <f>VLOOKUP(C235,'SALARY DETALES'!$B$2:$S$475,18,0)</f>
        <v>#N/A</v>
      </c>
      <c r="L235" s="60" t="e">
        <f>VLOOKUP(C235,'SALARY DETALES'!B234:C707,2,0)</f>
        <v>#N/A</v>
      </c>
      <c r="O235" s="62" t="e">
        <f>VLOOKUP(C235,'SALARY DETALES'!$B$2:$D$475,3,0)</f>
        <v>#N/A</v>
      </c>
      <c r="P235" t="s">
        <v>1091</v>
      </c>
      <c r="Q235" t="s">
        <v>1092</v>
      </c>
    </row>
    <row r="236" spans="2:20" x14ac:dyDescent="0.3">
      <c r="B236" s="55">
        <v>234</v>
      </c>
      <c r="C236" s="55">
        <v>80351</v>
      </c>
      <c r="D236" t="s">
        <v>741</v>
      </c>
      <c r="E236" t="s">
        <v>701</v>
      </c>
      <c r="F236" t="s">
        <v>1093</v>
      </c>
      <c r="G236" s="55">
        <v>0</v>
      </c>
      <c r="H236" s="55" t="s">
        <v>1816</v>
      </c>
      <c r="J236" s="57">
        <f>VLOOKUP(C236,'SALARY DETALES'!$B$2:$S$475,18,0)</f>
        <v>27500</v>
      </c>
      <c r="L236" s="60" t="str">
        <f>VLOOKUP(C236,'SALARY DETALES'!B235:C708,2,0)</f>
        <v>TEA</v>
      </c>
      <c r="O236" s="62" t="str">
        <f>VLOOKUP(C236,'SALARY DETALES'!$B$2:$D$475,3,0)</f>
        <v>Tea Maker</v>
      </c>
      <c r="P236" t="s">
        <v>1094</v>
      </c>
      <c r="Q236" t="s">
        <v>1095</v>
      </c>
    </row>
    <row r="237" spans="2:20" x14ac:dyDescent="0.3">
      <c r="B237" s="55">
        <v>235</v>
      </c>
      <c r="C237" s="55">
        <v>80360</v>
      </c>
      <c r="D237" t="s">
        <v>741</v>
      </c>
      <c r="E237" t="s">
        <v>645</v>
      </c>
      <c r="F237" t="s">
        <v>1096</v>
      </c>
      <c r="G237" s="55">
        <v>0</v>
      </c>
      <c r="H237" s="55" t="s">
        <v>1816</v>
      </c>
      <c r="J237" s="57">
        <f>VLOOKUP(C237,'SALARY DETALES'!$B$2:$S$475,18,0)</f>
        <v>25000</v>
      </c>
      <c r="L237" s="60" t="str">
        <f>VLOOKUP(C237,'SALARY DETALES'!B236:C709,2,0)</f>
        <v>Section F2</v>
      </c>
      <c r="O237" s="62" t="str">
        <f>VLOOKUP(C237,'SALARY DETALES'!$B$2:$D$475,3,0)</f>
        <v>OT</v>
      </c>
      <c r="P237" t="s">
        <v>1097</v>
      </c>
      <c r="Q237" t="s">
        <v>1098</v>
      </c>
      <c r="T237" t="s">
        <v>745</v>
      </c>
    </row>
    <row r="238" spans="2:20" x14ac:dyDescent="0.3">
      <c r="B238" s="55">
        <v>236</v>
      </c>
      <c r="C238" s="55">
        <v>80364</v>
      </c>
      <c r="D238" t="s">
        <v>741</v>
      </c>
      <c r="E238" t="s">
        <v>193</v>
      </c>
      <c r="F238" t="s">
        <v>1076</v>
      </c>
      <c r="G238" s="55">
        <v>0</v>
      </c>
      <c r="H238" s="55" t="s">
        <v>1816</v>
      </c>
      <c r="J238" s="57">
        <f>VLOOKUP(C238,'SALARY DETALES'!$B$2:$S$475,18,0)</f>
        <v>22000</v>
      </c>
      <c r="L238" s="60" t="e">
        <f>VLOOKUP(C238,'SALARY DETALES'!B237:C710,2,0)</f>
        <v>#N/A</v>
      </c>
      <c r="O238" s="62" t="str">
        <f>VLOOKUP(C238,'SALARY DETALES'!$B$2:$D$475,3,0)</f>
        <v>Helper</v>
      </c>
      <c r="P238" t="s">
        <v>1099</v>
      </c>
      <c r="Q238" t="s">
        <v>1100</v>
      </c>
    </row>
    <row r="239" spans="2:20" hidden="1" x14ac:dyDescent="0.3">
      <c r="B239" s="55">
        <v>237</v>
      </c>
      <c r="C239" s="55">
        <v>80368</v>
      </c>
      <c r="D239" t="s">
        <v>741</v>
      </c>
      <c r="E239" t="s">
        <v>1724</v>
      </c>
      <c r="F239" t="s">
        <v>1101</v>
      </c>
      <c r="G239" s="55">
        <v>0</v>
      </c>
      <c r="H239" s="55" t="s">
        <v>1816</v>
      </c>
      <c r="J239" s="57" t="e">
        <f>VLOOKUP(C239,'SALARY DETALES'!$B$2:$S$475,18,0)</f>
        <v>#N/A</v>
      </c>
      <c r="L239" s="60" t="e">
        <f>VLOOKUP(C239,'SALARY DETALES'!B238:C711,2,0)</f>
        <v>#N/A</v>
      </c>
      <c r="O239" s="62" t="e">
        <f>VLOOKUP(C239,'SALARY DETALES'!$B$2:$D$475,3,0)</f>
        <v>#N/A</v>
      </c>
      <c r="P239" t="s">
        <v>1102</v>
      </c>
    </row>
    <row r="240" spans="2:20" x14ac:dyDescent="0.3">
      <c r="B240" s="55">
        <v>238</v>
      </c>
      <c r="C240" s="55">
        <v>80378</v>
      </c>
      <c r="D240" t="s">
        <v>741</v>
      </c>
      <c r="E240" t="s">
        <v>495</v>
      </c>
      <c r="F240" t="s">
        <v>1103</v>
      </c>
      <c r="G240" s="55">
        <v>0</v>
      </c>
      <c r="H240" s="55" t="s">
        <v>1816</v>
      </c>
      <c r="J240" s="57">
        <f>VLOOKUP(C240,'SALARY DETALES'!$B$2:$S$475,18,0)</f>
        <v>25000</v>
      </c>
      <c r="L240" s="60" t="str">
        <f>VLOOKUP(C240,'SALARY DETALES'!B239:C712,2,0)</f>
        <v>Section A #1</v>
      </c>
      <c r="O240" s="62" t="str">
        <f>VLOOKUP(C240,'SALARY DETALES'!$B$2:$D$475,3,0)</f>
        <v>OT</v>
      </c>
      <c r="P240" t="s">
        <v>1104</v>
      </c>
      <c r="Q240" t="s">
        <v>1105</v>
      </c>
    </row>
    <row r="241" spans="2:20" x14ac:dyDescent="0.3">
      <c r="B241" s="55">
        <v>239</v>
      </c>
      <c r="C241" s="55">
        <v>80381</v>
      </c>
      <c r="D241" t="s">
        <v>741</v>
      </c>
      <c r="E241" t="s">
        <v>121</v>
      </c>
      <c r="F241" t="s">
        <v>1106</v>
      </c>
      <c r="G241" s="55">
        <v>0</v>
      </c>
      <c r="H241" s="55" t="s">
        <v>1816</v>
      </c>
      <c r="J241" s="57">
        <f>VLOOKUP(C241,'SALARY DETALES'!$B$2:$S$475,18,0)</f>
        <v>25000</v>
      </c>
      <c r="L241" s="60" t="e">
        <f>VLOOKUP(C241,'SALARY DETALES'!B240:C713,2,0)</f>
        <v>#N/A</v>
      </c>
      <c r="O241" s="62" t="str">
        <f>VLOOKUP(C241,'SALARY DETALES'!$B$2:$D$475,3,0)</f>
        <v>BBQ HELPER</v>
      </c>
      <c r="P241" t="s">
        <v>1107</v>
      </c>
      <c r="Q241" t="s">
        <v>1108</v>
      </c>
    </row>
    <row r="242" spans="2:20" x14ac:dyDescent="0.3">
      <c r="B242" s="55">
        <v>240</v>
      </c>
      <c r="C242" s="55">
        <v>80384</v>
      </c>
      <c r="D242" t="s">
        <v>741</v>
      </c>
      <c r="E242" t="s">
        <v>442</v>
      </c>
      <c r="F242" t="s">
        <v>1109</v>
      </c>
      <c r="G242" s="55">
        <v>0</v>
      </c>
      <c r="H242" s="55" t="s">
        <v>1816</v>
      </c>
      <c r="J242" s="57">
        <f>VLOOKUP(C242,'SALARY DETALES'!$B$2:$S$475,18,0)</f>
        <v>17600</v>
      </c>
      <c r="L242" s="60" t="str">
        <f>VLOOKUP(C242,'SALARY DETALES'!B241:C714,2,0)</f>
        <v>Runner</v>
      </c>
      <c r="O242" s="62" t="str">
        <f>VLOOKUP(C242,'SALARY DETALES'!$B$2:$D$475,3,0)</f>
        <v>Runner</v>
      </c>
    </row>
    <row r="243" spans="2:20" x14ac:dyDescent="0.3">
      <c r="B243" s="55">
        <v>241</v>
      </c>
      <c r="C243" s="55">
        <v>80389</v>
      </c>
      <c r="D243" t="s">
        <v>741</v>
      </c>
      <c r="E243" t="s">
        <v>601</v>
      </c>
      <c r="F243" t="s">
        <v>1110</v>
      </c>
      <c r="G243" s="55">
        <v>0</v>
      </c>
      <c r="H243" s="55" t="s">
        <v>1816</v>
      </c>
      <c r="J243" s="57">
        <f>VLOOKUP(C243,'SALARY DETALES'!$B$2:$S$475,18,0)</f>
        <v>16000</v>
      </c>
      <c r="L243" s="60" t="str">
        <f>VLOOKUP(C243,'SALARY DETALES'!B242:C715,2,0)</f>
        <v>Section E</v>
      </c>
      <c r="O243" s="62" t="str">
        <f>VLOOKUP(C243,'SALARY DETALES'!$B$2:$D$475,3,0)</f>
        <v>BW/E</v>
      </c>
      <c r="P243" t="s">
        <v>1111</v>
      </c>
      <c r="Q243" t="s">
        <v>1112</v>
      </c>
    </row>
    <row r="244" spans="2:20" x14ac:dyDescent="0.3">
      <c r="B244" s="55">
        <v>242</v>
      </c>
      <c r="C244" s="55">
        <v>80391</v>
      </c>
      <c r="D244" t="s">
        <v>741</v>
      </c>
      <c r="E244" t="s">
        <v>496</v>
      </c>
      <c r="F244" t="s">
        <v>1110</v>
      </c>
      <c r="G244" s="55">
        <v>0</v>
      </c>
      <c r="H244" s="55" t="s">
        <v>1816</v>
      </c>
      <c r="J244" s="57">
        <f>VLOOKUP(C244,'SALARY DETALES'!$B$2:$S$475,18,0)</f>
        <v>25000</v>
      </c>
      <c r="L244" s="60" t="str">
        <f>VLOOKUP(C244,'SALARY DETALES'!B243:C716,2,0)</f>
        <v>Section A #1</v>
      </c>
      <c r="O244" s="62" t="str">
        <f>VLOOKUP(C244,'SALARY DETALES'!$B$2:$D$475,3,0)</f>
        <v>OT</v>
      </c>
      <c r="P244" t="s">
        <v>1113</v>
      </c>
      <c r="Q244" t="s">
        <v>1114</v>
      </c>
    </row>
    <row r="245" spans="2:20" x14ac:dyDescent="0.3">
      <c r="B245" s="55">
        <v>243</v>
      </c>
      <c r="C245" s="55">
        <v>80394</v>
      </c>
      <c r="D245" t="s">
        <v>741</v>
      </c>
      <c r="E245" t="s">
        <v>462</v>
      </c>
      <c r="F245" t="s">
        <v>1110</v>
      </c>
      <c r="G245" s="55">
        <v>0</v>
      </c>
      <c r="H245" s="55" t="s">
        <v>1816</v>
      </c>
      <c r="J245" s="57">
        <f>VLOOKUP(C245,'SALARY DETALES'!$B$2:$S$475,18,0)</f>
        <v>17600</v>
      </c>
      <c r="L245" s="60" t="str">
        <f>VLOOKUP(C245,'SALARY DETALES'!B244:C717,2,0)</f>
        <v>RUNNER 2</v>
      </c>
      <c r="O245" s="62" t="str">
        <f>VLOOKUP(C245,'SALARY DETALES'!$B$2:$D$475,3,0)</f>
        <v>RUNNER</v>
      </c>
      <c r="P245" t="s">
        <v>1115</v>
      </c>
      <c r="Q245" t="s">
        <v>1116</v>
      </c>
      <c r="T245" t="s">
        <v>1117</v>
      </c>
    </row>
    <row r="246" spans="2:20" hidden="1" x14ac:dyDescent="0.3">
      <c r="B246" s="55">
        <v>244</v>
      </c>
      <c r="C246" s="55">
        <v>80395</v>
      </c>
      <c r="D246" t="s">
        <v>741</v>
      </c>
      <c r="E246" t="s">
        <v>1725</v>
      </c>
      <c r="F246" t="s">
        <v>1118</v>
      </c>
      <c r="G246" s="55">
        <v>0</v>
      </c>
      <c r="H246" s="55" t="s">
        <v>1816</v>
      </c>
      <c r="J246" s="57" t="e">
        <f>VLOOKUP(C246,'SALARY DETALES'!$B$2:$S$475,18,0)</f>
        <v>#N/A</v>
      </c>
      <c r="L246" s="60" t="e">
        <f>VLOOKUP(C246,'SALARY DETALES'!B245:C718,2,0)</f>
        <v>#N/A</v>
      </c>
      <c r="O246" s="62" t="e">
        <f>VLOOKUP(C246,'SALARY DETALES'!$B$2:$D$475,3,0)</f>
        <v>#N/A</v>
      </c>
      <c r="P246" t="s">
        <v>1119</v>
      </c>
    </row>
    <row r="247" spans="2:20" x14ac:dyDescent="0.3">
      <c r="B247" s="55">
        <v>245</v>
      </c>
      <c r="C247" s="55">
        <v>80397</v>
      </c>
      <c r="D247" t="s">
        <v>741</v>
      </c>
      <c r="E247" t="s">
        <v>628</v>
      </c>
      <c r="F247" t="s">
        <v>971</v>
      </c>
      <c r="G247" s="55">
        <v>0</v>
      </c>
      <c r="H247" s="55" t="s">
        <v>1816</v>
      </c>
      <c r="J247" s="57">
        <f>VLOOKUP(C247,'SALARY DETALES'!$B$2:$S$475,18,0)</f>
        <v>16000</v>
      </c>
      <c r="L247" s="60" t="str">
        <f>VLOOKUP(C247,'SALARY DETALES'!B246:C719,2,0)</f>
        <v>Section F</v>
      </c>
      <c r="O247" s="62" t="str">
        <f>VLOOKUP(C247,'SALARY DETALES'!$B$2:$D$475,3,0)</f>
        <v>BW/A</v>
      </c>
      <c r="P247" t="s">
        <v>1120</v>
      </c>
      <c r="Q247" t="s">
        <v>1121</v>
      </c>
    </row>
    <row r="248" spans="2:20" hidden="1" x14ac:dyDescent="0.3">
      <c r="B248" s="55">
        <v>246</v>
      </c>
      <c r="C248" s="55">
        <v>80402</v>
      </c>
      <c r="D248" t="s">
        <v>741</v>
      </c>
      <c r="E248" t="s">
        <v>1726</v>
      </c>
      <c r="F248" t="s">
        <v>1122</v>
      </c>
      <c r="G248" s="55">
        <v>0</v>
      </c>
      <c r="H248" s="55" t="s">
        <v>1816</v>
      </c>
      <c r="J248" s="57" t="e">
        <f>VLOOKUP(C248,'SALARY DETALES'!$B$2:$S$475,18,0)</f>
        <v>#N/A</v>
      </c>
      <c r="L248" s="60" t="e">
        <f>VLOOKUP(C248,'SALARY DETALES'!B247:C720,2,0)</f>
        <v>#N/A</v>
      </c>
      <c r="O248" s="62" t="e">
        <f>VLOOKUP(C248,'SALARY DETALES'!$B$2:$D$475,3,0)</f>
        <v>#N/A</v>
      </c>
      <c r="P248" t="s">
        <v>1123</v>
      </c>
    </row>
    <row r="249" spans="2:20" x14ac:dyDescent="0.3">
      <c r="B249" s="55">
        <v>247</v>
      </c>
      <c r="C249" s="55">
        <v>80403</v>
      </c>
      <c r="D249" t="s">
        <v>741</v>
      </c>
      <c r="E249" t="s">
        <v>586</v>
      </c>
      <c r="F249" t="s">
        <v>1122</v>
      </c>
      <c r="G249" s="55">
        <v>0</v>
      </c>
      <c r="H249" s="55" t="s">
        <v>1816</v>
      </c>
      <c r="J249" s="57">
        <f>VLOOKUP(C249,'SALARY DETALES'!$B$2:$S$475,18,0)</f>
        <v>16000</v>
      </c>
      <c r="L249" s="60" t="str">
        <f>VLOOKUP(C249,'SALARY DETALES'!B248:C721,2,0)</f>
        <v>Section D #2</v>
      </c>
      <c r="O249" s="62" t="str">
        <f>VLOOKUP(C249,'SALARY DETALES'!$B$2:$D$475,3,0)</f>
        <v>BW/D</v>
      </c>
      <c r="P249" t="s">
        <v>1124</v>
      </c>
      <c r="Q249" t="s">
        <v>1125</v>
      </c>
    </row>
    <row r="250" spans="2:20" x14ac:dyDescent="0.3">
      <c r="B250" s="55">
        <v>248</v>
      </c>
      <c r="C250" s="55">
        <v>80404</v>
      </c>
      <c r="D250" t="s">
        <v>741</v>
      </c>
      <c r="E250" t="s">
        <v>1727</v>
      </c>
      <c r="F250" t="s">
        <v>822</v>
      </c>
      <c r="G250" s="55">
        <v>0</v>
      </c>
      <c r="H250" s="55" t="s">
        <v>1816</v>
      </c>
      <c r="J250" s="57">
        <f>VLOOKUP(C250,'SALARY DETALES'!$B$2:$S$475,18,0)</f>
        <v>16000</v>
      </c>
      <c r="L250" s="60" t="str">
        <f>VLOOKUP(C250,'SALARY DETALES'!B249:C722,2,0)</f>
        <v>Section D #2</v>
      </c>
      <c r="O250" s="62" t="str">
        <f>VLOOKUP(C250,'SALARY DETALES'!$B$2:$D$475,3,0)</f>
        <v>B/W</v>
      </c>
      <c r="P250" t="s">
        <v>1126</v>
      </c>
      <c r="Q250" t="s">
        <v>1127</v>
      </c>
    </row>
    <row r="251" spans="2:20" x14ac:dyDescent="0.3">
      <c r="B251" s="55">
        <v>249</v>
      </c>
      <c r="C251" s="55">
        <v>80407</v>
      </c>
      <c r="D251" t="s">
        <v>741</v>
      </c>
      <c r="E251" t="s">
        <v>218</v>
      </c>
      <c r="F251" t="s">
        <v>947</v>
      </c>
      <c r="G251" s="55">
        <v>0</v>
      </c>
      <c r="H251" s="55" t="s">
        <v>1816</v>
      </c>
      <c r="J251" s="57">
        <f>VLOOKUP(C251,'SALARY DETALES'!$B$2:$S$475,18,0)</f>
        <v>19800</v>
      </c>
      <c r="L251" s="60" t="e">
        <f>VLOOKUP(C251,'SALARY DETALES'!B250:C723,2,0)</f>
        <v>#N/A</v>
      </c>
      <c r="O251" s="62" t="str">
        <f>VLOOKUP(C251,'SALARY DETALES'!$B$2:$D$475,3,0)</f>
        <v>OT/A</v>
      </c>
      <c r="P251" t="s">
        <v>1128</v>
      </c>
      <c r="Q251" t="s">
        <v>1129</v>
      </c>
      <c r="T251" t="s">
        <v>745</v>
      </c>
    </row>
    <row r="252" spans="2:20" x14ac:dyDescent="0.3">
      <c r="B252" s="55">
        <v>250</v>
      </c>
      <c r="C252" s="55">
        <v>80410</v>
      </c>
      <c r="D252" t="s">
        <v>741</v>
      </c>
      <c r="E252" t="s">
        <v>629</v>
      </c>
      <c r="F252" t="s">
        <v>1130</v>
      </c>
      <c r="G252" s="55">
        <v>0</v>
      </c>
      <c r="H252" s="55" t="s">
        <v>1816</v>
      </c>
      <c r="J252" s="57">
        <f>VLOOKUP(C252,'SALARY DETALES'!$B$2:$S$475,18,0)</f>
        <v>16000</v>
      </c>
      <c r="L252" s="60" t="str">
        <f>VLOOKUP(C252,'SALARY DETALES'!B251:C724,2,0)</f>
        <v>Section F</v>
      </c>
      <c r="O252" s="62" t="str">
        <f>VLOOKUP(C252,'SALARY DETALES'!$B$2:$D$475,3,0)</f>
        <v>B/W</v>
      </c>
      <c r="P252" t="s">
        <v>1131</v>
      </c>
      <c r="Q252" t="s">
        <v>1132</v>
      </c>
      <c r="T252" t="s">
        <v>1133</v>
      </c>
    </row>
    <row r="253" spans="2:20" x14ac:dyDescent="0.3">
      <c r="B253" s="55">
        <v>251</v>
      </c>
      <c r="C253" s="55">
        <v>80411</v>
      </c>
      <c r="D253" t="s">
        <v>741</v>
      </c>
      <c r="E253" t="s">
        <v>497</v>
      </c>
      <c r="F253" t="s">
        <v>1134</v>
      </c>
      <c r="G253" s="55">
        <v>0</v>
      </c>
      <c r="H253" s="55" t="s">
        <v>1816</v>
      </c>
      <c r="J253" s="57">
        <f>VLOOKUP(C253,'SALARY DETALES'!$B$2:$S$475,18,0)</f>
        <v>16000</v>
      </c>
      <c r="L253" s="60" t="str">
        <f>VLOOKUP(C253,'SALARY DETALES'!B252:C725,2,0)</f>
        <v>Section A #1</v>
      </c>
      <c r="O253" s="62" t="str">
        <f>VLOOKUP(C253,'SALARY DETALES'!$B$2:$D$475,3,0)</f>
        <v>B/W</v>
      </c>
      <c r="P253" t="s">
        <v>1135</v>
      </c>
      <c r="Q253" t="s">
        <v>1136</v>
      </c>
      <c r="T253" t="s">
        <v>1137</v>
      </c>
    </row>
    <row r="254" spans="2:20" x14ac:dyDescent="0.3">
      <c r="B254" s="55">
        <v>252</v>
      </c>
      <c r="C254" s="55">
        <v>80414</v>
      </c>
      <c r="D254" t="s">
        <v>741</v>
      </c>
      <c r="E254" t="s">
        <v>588</v>
      </c>
      <c r="F254" t="s">
        <v>1138</v>
      </c>
      <c r="G254" s="55">
        <v>0</v>
      </c>
      <c r="H254" s="55" t="s">
        <v>1816</v>
      </c>
      <c r="J254" s="57">
        <f>VLOOKUP(C254,'SALARY DETALES'!$B$2:$S$475,18,0)</f>
        <v>20000</v>
      </c>
      <c r="L254" s="60" t="str">
        <f>VLOOKUP(C254,'SALARY DETALES'!B253:C726,2,0)</f>
        <v>Section D #2</v>
      </c>
      <c r="O254" s="62" t="str">
        <f>VLOOKUP(C254,'SALARY DETALES'!$B$2:$D$475,3,0)</f>
        <v>BW/D</v>
      </c>
      <c r="P254" t="s">
        <v>1139</v>
      </c>
      <c r="Q254" t="s">
        <v>1140</v>
      </c>
    </row>
    <row r="255" spans="2:20" x14ac:dyDescent="0.3">
      <c r="B255" s="55">
        <v>253</v>
      </c>
      <c r="C255" s="55">
        <v>80415</v>
      </c>
      <c r="D255" t="s">
        <v>741</v>
      </c>
      <c r="E255" t="s">
        <v>91</v>
      </c>
      <c r="F255" t="s">
        <v>929</v>
      </c>
      <c r="G255" s="55">
        <v>60</v>
      </c>
      <c r="H255" s="55" t="s">
        <v>1817</v>
      </c>
      <c r="J255" s="57">
        <f>VLOOKUP(C255,'SALARY DETALES'!$B$2:$S$475,18,0)</f>
        <v>32000</v>
      </c>
      <c r="L255" s="60" t="e">
        <f>VLOOKUP(C255,'SALARY DETALES'!B254:C727,2,0)</f>
        <v>#N/A</v>
      </c>
      <c r="O255" s="62" t="str">
        <f>VLOOKUP(C255,'SALARY DETALES'!$B$2:$D$475,3,0)</f>
        <v>ASSEMBLER</v>
      </c>
      <c r="P255" t="s">
        <v>1141</v>
      </c>
      <c r="Q255" t="s">
        <v>1142</v>
      </c>
    </row>
    <row r="256" spans="2:20" x14ac:dyDescent="0.3">
      <c r="B256" s="55">
        <v>254</v>
      </c>
      <c r="C256" s="55">
        <v>80419</v>
      </c>
      <c r="D256" t="s">
        <v>741</v>
      </c>
      <c r="E256" t="s">
        <v>315</v>
      </c>
      <c r="F256" t="s">
        <v>1143</v>
      </c>
      <c r="G256" s="55">
        <v>0</v>
      </c>
      <c r="H256" s="55" t="s">
        <v>1816</v>
      </c>
      <c r="J256" s="57">
        <f>VLOOKUP(C256,'SALARY DETALES'!$B$2:$S$475,18,0)</f>
        <v>25000</v>
      </c>
      <c r="L256" s="60" t="e">
        <f>VLOOKUP(C256,'SALARY DETALES'!B255:C728,2,0)</f>
        <v>#N/A</v>
      </c>
      <c r="O256" s="62" t="str">
        <f>VLOOKUP(C256,'SALARY DETALES'!$B$2:$D$475,3,0)</f>
        <v>HELPER</v>
      </c>
      <c r="P256" t="s">
        <v>1144</v>
      </c>
      <c r="Q256" t="s">
        <v>1145</v>
      </c>
    </row>
    <row r="257" spans="2:20" hidden="1" x14ac:dyDescent="0.3">
      <c r="B257" s="55">
        <v>255</v>
      </c>
      <c r="C257" s="55">
        <v>80422</v>
      </c>
      <c r="D257" t="s">
        <v>741</v>
      </c>
      <c r="E257" t="s">
        <v>1728</v>
      </c>
      <c r="F257" t="s">
        <v>1146</v>
      </c>
      <c r="G257" s="55">
        <v>0</v>
      </c>
      <c r="H257" s="55" t="s">
        <v>1816</v>
      </c>
      <c r="J257" s="57" t="e">
        <f>VLOOKUP(C257,'SALARY DETALES'!$B$2:$S$475,18,0)</f>
        <v>#N/A</v>
      </c>
      <c r="L257" s="60" t="e">
        <f>VLOOKUP(C257,'SALARY DETALES'!B256:C729,2,0)</f>
        <v>#N/A</v>
      </c>
      <c r="O257" s="62" t="e">
        <f>VLOOKUP(C257,'SALARY DETALES'!$B$2:$D$475,3,0)</f>
        <v>#N/A</v>
      </c>
      <c r="P257" t="s">
        <v>1147</v>
      </c>
    </row>
    <row r="258" spans="2:20" hidden="1" x14ac:dyDescent="0.3">
      <c r="B258" s="55">
        <v>256</v>
      </c>
      <c r="C258" s="55">
        <v>80423</v>
      </c>
      <c r="D258" t="s">
        <v>741</v>
      </c>
      <c r="E258" t="s">
        <v>1729</v>
      </c>
      <c r="F258" t="s">
        <v>1148</v>
      </c>
      <c r="G258" s="55">
        <v>0</v>
      </c>
      <c r="H258" s="55" t="s">
        <v>1816</v>
      </c>
      <c r="J258" s="57" t="e">
        <f>VLOOKUP(C258,'SALARY DETALES'!$B$2:$S$475,18,0)</f>
        <v>#N/A</v>
      </c>
      <c r="L258" s="60" t="e">
        <f>VLOOKUP(C258,'SALARY DETALES'!B257:C730,2,0)</f>
        <v>#N/A</v>
      </c>
      <c r="O258" s="62" t="e">
        <f>VLOOKUP(C258,'SALARY DETALES'!$B$2:$D$475,3,0)</f>
        <v>#N/A</v>
      </c>
      <c r="P258" t="s">
        <v>1149</v>
      </c>
    </row>
    <row r="259" spans="2:20" hidden="1" x14ac:dyDescent="0.3">
      <c r="B259" s="55">
        <v>257</v>
      </c>
      <c r="C259" s="55">
        <v>80425</v>
      </c>
      <c r="D259" t="s">
        <v>741</v>
      </c>
      <c r="E259" t="s">
        <v>1730</v>
      </c>
      <c r="F259" t="s">
        <v>1146</v>
      </c>
      <c r="G259" s="55">
        <v>0</v>
      </c>
      <c r="H259" s="55" t="s">
        <v>1816</v>
      </c>
      <c r="J259" s="57" t="e">
        <f>VLOOKUP(C259,'SALARY DETALES'!$B$2:$S$475,18,0)</f>
        <v>#N/A</v>
      </c>
      <c r="L259" s="60" t="e">
        <f>VLOOKUP(C259,'SALARY DETALES'!B258:C731,2,0)</f>
        <v>#N/A</v>
      </c>
      <c r="O259" s="62" t="e">
        <f>VLOOKUP(C259,'SALARY DETALES'!$B$2:$D$475,3,0)</f>
        <v>#N/A</v>
      </c>
      <c r="P259" t="s">
        <v>1150</v>
      </c>
    </row>
    <row r="260" spans="2:20" hidden="1" x14ac:dyDescent="0.3">
      <c r="B260" s="55">
        <v>258</v>
      </c>
      <c r="C260" s="55">
        <v>80427</v>
      </c>
      <c r="D260" t="s">
        <v>741</v>
      </c>
      <c r="E260" t="s">
        <v>1731</v>
      </c>
      <c r="F260" t="s">
        <v>929</v>
      </c>
      <c r="G260" s="55">
        <v>0</v>
      </c>
      <c r="H260" s="55" t="s">
        <v>1816</v>
      </c>
      <c r="J260" s="57" t="e">
        <f>VLOOKUP(C260,'SALARY DETALES'!$B$2:$S$475,18,0)</f>
        <v>#N/A</v>
      </c>
      <c r="L260" s="60" t="e">
        <f>VLOOKUP(C260,'SALARY DETALES'!B259:C732,2,0)</f>
        <v>#N/A</v>
      </c>
      <c r="O260" s="62" t="e">
        <f>VLOOKUP(C260,'SALARY DETALES'!$B$2:$D$475,3,0)</f>
        <v>#N/A</v>
      </c>
      <c r="P260" t="s">
        <v>1151</v>
      </c>
    </row>
    <row r="261" spans="2:20" x14ac:dyDescent="0.3">
      <c r="B261" s="55">
        <v>259</v>
      </c>
      <c r="C261" s="55">
        <v>80433</v>
      </c>
      <c r="D261" t="s">
        <v>741</v>
      </c>
      <c r="E261" t="s">
        <v>347</v>
      </c>
      <c r="F261" t="s">
        <v>1152</v>
      </c>
      <c r="G261" s="55">
        <v>0</v>
      </c>
      <c r="H261" s="55" t="s">
        <v>1816</v>
      </c>
      <c r="J261" s="57">
        <f>VLOOKUP(C261,'SALARY DETALES'!$B$2:$S$475,18,0)</f>
        <v>22000</v>
      </c>
      <c r="L261" s="60" t="e">
        <f>VLOOKUP(C261,'SALARY DETALES'!B260:C733,2,0)</f>
        <v>#N/A</v>
      </c>
      <c r="O261" s="62">
        <f>VLOOKUP(C261,'SALARY DETALES'!$B$2:$D$475,3,0)</f>
        <v>0</v>
      </c>
      <c r="P261" t="s">
        <v>1153</v>
      </c>
      <c r="Q261" t="s">
        <v>1154</v>
      </c>
    </row>
    <row r="262" spans="2:20" x14ac:dyDescent="0.3">
      <c r="B262" s="55">
        <v>260</v>
      </c>
      <c r="C262" s="55">
        <v>80434</v>
      </c>
      <c r="D262" t="s">
        <v>741</v>
      </c>
      <c r="E262" t="s">
        <v>630</v>
      </c>
      <c r="F262" t="s">
        <v>1155</v>
      </c>
      <c r="G262" s="55">
        <v>0</v>
      </c>
      <c r="H262" s="55" t="s">
        <v>1816</v>
      </c>
      <c r="J262" s="57">
        <f>VLOOKUP(C262,'SALARY DETALES'!$B$2:$S$475,18,0)</f>
        <v>16000</v>
      </c>
      <c r="L262" s="60" t="str">
        <f>VLOOKUP(C262,'SALARY DETALES'!B261:C734,2,0)</f>
        <v>Section F</v>
      </c>
      <c r="O262" s="62" t="str">
        <f>VLOOKUP(C262,'SALARY DETALES'!$B$2:$D$475,3,0)</f>
        <v>BW/F</v>
      </c>
      <c r="P262" t="s">
        <v>1156</v>
      </c>
      <c r="Q262" t="s">
        <v>1157</v>
      </c>
    </row>
    <row r="263" spans="2:20" x14ac:dyDescent="0.3">
      <c r="B263" s="55">
        <v>261</v>
      </c>
      <c r="C263" s="55">
        <v>80435</v>
      </c>
      <c r="D263" t="s">
        <v>741</v>
      </c>
      <c r="E263" t="s">
        <v>498</v>
      </c>
      <c r="F263" t="s">
        <v>1158</v>
      </c>
      <c r="G263" s="55">
        <v>0</v>
      </c>
      <c r="H263" s="55" t="s">
        <v>1816</v>
      </c>
      <c r="J263" s="57">
        <f>VLOOKUP(C263,'SALARY DETALES'!$B$2:$S$475,18,0)</f>
        <v>20000</v>
      </c>
      <c r="L263" s="60" t="str">
        <f>VLOOKUP(C263,'SALARY DETALES'!B262:C735,2,0)</f>
        <v>Section A #1</v>
      </c>
      <c r="O263" s="62" t="str">
        <f>VLOOKUP(C263,'SALARY DETALES'!$B$2:$D$475,3,0)</f>
        <v>B/W</v>
      </c>
      <c r="P263" t="s">
        <v>1159</v>
      </c>
      <c r="Q263" t="s">
        <v>1160</v>
      </c>
    </row>
    <row r="264" spans="2:20" x14ac:dyDescent="0.3">
      <c r="B264" s="55">
        <v>262</v>
      </c>
      <c r="C264" s="55">
        <v>80436</v>
      </c>
      <c r="D264" t="s">
        <v>741</v>
      </c>
      <c r="E264" t="s">
        <v>268</v>
      </c>
      <c r="F264" t="s">
        <v>1146</v>
      </c>
      <c r="G264" s="55">
        <v>0</v>
      </c>
      <c r="H264" s="55" t="s">
        <v>1816</v>
      </c>
      <c r="J264" s="57">
        <f>VLOOKUP(C264,'SALARY DETALES'!$B$2:$S$475,18,0)</f>
        <v>16000</v>
      </c>
      <c r="L264" s="60" t="e">
        <f>VLOOKUP(C264,'SALARY DETALES'!B263:C736,2,0)</f>
        <v>#N/A</v>
      </c>
      <c r="O264" s="62" t="str">
        <f>VLOOKUP(C264,'SALARY DETALES'!$B$2:$D$475,3,0)</f>
        <v>WIPPING</v>
      </c>
      <c r="P264" t="s">
        <v>1161</v>
      </c>
      <c r="Q264" t="s">
        <v>1162</v>
      </c>
    </row>
    <row r="265" spans="2:20" x14ac:dyDescent="0.3">
      <c r="B265" s="55">
        <v>263</v>
      </c>
      <c r="C265" s="55">
        <v>80438</v>
      </c>
      <c r="D265" t="s">
        <v>741</v>
      </c>
      <c r="E265" t="s">
        <v>631</v>
      </c>
      <c r="F265" t="s">
        <v>1146</v>
      </c>
      <c r="G265" s="55">
        <v>0</v>
      </c>
      <c r="H265" s="55" t="s">
        <v>1816</v>
      </c>
      <c r="J265" s="57">
        <f>VLOOKUP(C265,'SALARY DETALES'!$B$2:$S$475,18,0)</f>
        <v>16000</v>
      </c>
      <c r="L265" s="60" t="str">
        <f>VLOOKUP(C265,'SALARY DETALES'!B264:C737,2,0)</f>
        <v>Section F</v>
      </c>
      <c r="O265" s="62" t="str">
        <f>VLOOKUP(C265,'SALARY DETALES'!$B$2:$D$475,3,0)</f>
        <v>B/S</v>
      </c>
      <c r="P265" t="s">
        <v>1163</v>
      </c>
      <c r="Q265" t="s">
        <v>1164</v>
      </c>
      <c r="T265" t="s">
        <v>1165</v>
      </c>
    </row>
    <row r="266" spans="2:20" x14ac:dyDescent="0.3">
      <c r="B266" s="55">
        <v>264</v>
      </c>
      <c r="C266" s="55">
        <v>80439</v>
      </c>
      <c r="D266" t="s">
        <v>741</v>
      </c>
      <c r="E266" t="s">
        <v>140</v>
      </c>
      <c r="F266" t="s">
        <v>1166</v>
      </c>
      <c r="G266" s="55">
        <v>0</v>
      </c>
      <c r="H266" s="55" t="s">
        <v>1816</v>
      </c>
      <c r="J266" s="57">
        <f>VLOOKUP(C266,'SALARY DETALES'!$B$2:$S$475,18,0)</f>
        <v>25000</v>
      </c>
      <c r="L266" s="60" t="e">
        <f>VLOOKUP(C266,'SALARY DETALES'!B265:C738,2,0)</f>
        <v>#N/A</v>
      </c>
      <c r="O266" s="62" t="str">
        <f>VLOOKUP(C266,'SALARY DETALES'!$B$2:$D$475,3,0)</f>
        <v>Runner</v>
      </c>
      <c r="P266" t="s">
        <v>1167</v>
      </c>
      <c r="Q266" t="s">
        <v>1168</v>
      </c>
      <c r="T266" t="s">
        <v>1169</v>
      </c>
    </row>
    <row r="267" spans="2:20" x14ac:dyDescent="0.3">
      <c r="B267" s="55">
        <v>265</v>
      </c>
      <c r="C267" s="55">
        <v>80440</v>
      </c>
      <c r="D267" t="s">
        <v>741</v>
      </c>
      <c r="E267" t="s">
        <v>300</v>
      </c>
      <c r="F267" t="s">
        <v>1170</v>
      </c>
      <c r="G267" s="55">
        <v>405</v>
      </c>
      <c r="H267" s="55" t="s">
        <v>1817</v>
      </c>
      <c r="J267" s="57">
        <f>VLOOKUP(C267,'SALARY DETALES'!$B$2:$S$475,18,0)</f>
        <v>28000</v>
      </c>
      <c r="L267" s="60" t="e">
        <f>VLOOKUP(C267,'SALARY DETALES'!B266:C739,2,0)</f>
        <v>#N/A</v>
      </c>
      <c r="O267" s="62" t="str">
        <f>VLOOKUP(C267,'SALARY DETALES'!$B$2:$D$475,3,0)</f>
        <v>Gro</v>
      </c>
      <c r="P267" t="s">
        <v>1171</v>
      </c>
      <c r="Q267" t="s">
        <v>1172</v>
      </c>
      <c r="T267" t="s">
        <v>1173</v>
      </c>
    </row>
    <row r="268" spans="2:20" x14ac:dyDescent="0.3">
      <c r="B268" s="55">
        <v>266</v>
      </c>
      <c r="C268" s="55">
        <v>80441</v>
      </c>
      <c r="D268" t="s">
        <v>741</v>
      </c>
      <c r="E268" t="s">
        <v>211</v>
      </c>
      <c r="F268" t="s">
        <v>1143</v>
      </c>
      <c r="G268" s="55">
        <v>60</v>
      </c>
      <c r="H268" s="55" t="s">
        <v>1817</v>
      </c>
      <c r="J268" s="57">
        <f>VLOOKUP(C268,'SALARY DETALES'!$B$2:$S$475,18,0)</f>
        <v>28000</v>
      </c>
      <c r="L268" s="60" t="e">
        <f>VLOOKUP(C268,'SALARY DETALES'!B267:C740,2,0)</f>
        <v>#N/A</v>
      </c>
      <c r="O268" s="62" t="str">
        <f>VLOOKUP(C268,'SALARY DETALES'!$B$2:$D$475,3,0)</f>
        <v>event</v>
      </c>
      <c r="P268" t="s">
        <v>1174</v>
      </c>
      <c r="Q268" t="s">
        <v>1036</v>
      </c>
      <c r="T268" t="s">
        <v>1175</v>
      </c>
    </row>
    <row r="269" spans="2:20" x14ac:dyDescent="0.3">
      <c r="B269" s="55">
        <v>267</v>
      </c>
      <c r="C269" s="55">
        <v>80442</v>
      </c>
      <c r="D269" t="s">
        <v>741</v>
      </c>
      <c r="E269" t="s">
        <v>195</v>
      </c>
      <c r="F269" t="s">
        <v>1176</v>
      </c>
      <c r="G269" s="55">
        <v>90</v>
      </c>
      <c r="H269" s="55" t="s">
        <v>1817</v>
      </c>
      <c r="J269" s="57">
        <f>VLOOKUP(C269,'SALARY DETALES'!$B$2:$S$475,18,0)</f>
        <v>30000</v>
      </c>
      <c r="L269" s="60" t="e">
        <f>VLOOKUP(C269,'SALARY DETALES'!B268:C741,2,0)</f>
        <v>#N/A</v>
      </c>
      <c r="O269" s="62" t="str">
        <f>VLOOKUP(C269,'SALARY DETALES'!$B$2:$D$475,3,0)</f>
        <v>helper</v>
      </c>
      <c r="P269" t="s">
        <v>1177</v>
      </c>
      <c r="Q269" t="s">
        <v>1178</v>
      </c>
    </row>
    <row r="270" spans="2:20" x14ac:dyDescent="0.3">
      <c r="B270" s="55">
        <v>268</v>
      </c>
      <c r="C270" s="55">
        <v>80444</v>
      </c>
      <c r="D270" t="s">
        <v>741</v>
      </c>
      <c r="E270" t="s">
        <v>603</v>
      </c>
      <c r="F270" t="s">
        <v>1179</v>
      </c>
      <c r="G270" s="55">
        <v>0</v>
      </c>
      <c r="H270" s="55" t="s">
        <v>1816</v>
      </c>
      <c r="J270" s="57">
        <f>VLOOKUP(C270,'SALARY DETALES'!$B$2:$S$475,18,0)</f>
        <v>16000</v>
      </c>
      <c r="L270" s="60" t="str">
        <f>VLOOKUP(C270,'SALARY DETALES'!B269:C742,2,0)</f>
        <v>Section E</v>
      </c>
      <c r="O270" s="62" t="str">
        <f>VLOOKUP(C270,'SALARY DETALES'!$B$2:$D$475,3,0)</f>
        <v>BW/F</v>
      </c>
      <c r="P270" t="s">
        <v>1180</v>
      </c>
      <c r="Q270" t="s">
        <v>1181</v>
      </c>
    </row>
    <row r="271" spans="2:20" x14ac:dyDescent="0.3">
      <c r="B271" s="55">
        <v>269</v>
      </c>
      <c r="C271" s="55">
        <v>80445</v>
      </c>
      <c r="D271" t="s">
        <v>741</v>
      </c>
      <c r="E271" t="s">
        <v>384</v>
      </c>
      <c r="F271" t="s">
        <v>1146</v>
      </c>
      <c r="G271" s="55">
        <v>150</v>
      </c>
      <c r="H271" s="55" t="s">
        <v>1817</v>
      </c>
      <c r="J271" s="57">
        <f>VLOOKUP(C271,'SALARY DETALES'!$B$2:$S$475,18,0)</f>
        <v>33000</v>
      </c>
      <c r="L271" s="60" t="e">
        <f>VLOOKUP(C271,'SALARY DETALES'!B270:C743,2,0)</f>
        <v>#N/A</v>
      </c>
      <c r="O271" s="62" t="str">
        <f>VLOOKUP(C271,'SALARY DETALES'!$B$2:$D$475,3,0)</f>
        <v>PAINTER</v>
      </c>
      <c r="P271" t="s">
        <v>1182</v>
      </c>
      <c r="Q271" t="s">
        <v>1183</v>
      </c>
    </row>
    <row r="272" spans="2:20" x14ac:dyDescent="0.3">
      <c r="B272" s="55">
        <v>270</v>
      </c>
      <c r="C272" s="55">
        <v>80451</v>
      </c>
      <c r="D272" t="s">
        <v>741</v>
      </c>
      <c r="E272" t="s">
        <v>220</v>
      </c>
      <c r="F272" t="s">
        <v>1184</v>
      </c>
      <c r="G272" s="55">
        <v>0</v>
      </c>
      <c r="H272" s="55" t="s">
        <v>1816</v>
      </c>
      <c r="J272" s="57">
        <f>VLOOKUP(C272,'SALARY DETALES'!$B$2:$S$475,18,0)</f>
        <v>22000</v>
      </c>
      <c r="L272" s="60" t="e">
        <f>VLOOKUP(C272,'SALARY DETALES'!B271:C744,2,0)</f>
        <v>#N/A</v>
      </c>
      <c r="O272" s="62" t="str">
        <f>VLOOKUP(C272,'SALARY DETALES'!$B$2:$D$475,3,0)</f>
        <v>OT/E</v>
      </c>
      <c r="P272" t="s">
        <v>1185</v>
      </c>
      <c r="Q272" t="s">
        <v>1186</v>
      </c>
    </row>
    <row r="273" spans="2:20" x14ac:dyDescent="0.3">
      <c r="B273" s="55">
        <v>271</v>
      </c>
      <c r="C273" s="55">
        <v>80452</v>
      </c>
      <c r="D273" t="s">
        <v>741</v>
      </c>
      <c r="E273" t="s">
        <v>123</v>
      </c>
      <c r="F273" t="s">
        <v>1170</v>
      </c>
      <c r="G273" s="55">
        <v>0</v>
      </c>
      <c r="H273" s="55" t="s">
        <v>1816</v>
      </c>
      <c r="J273" s="57">
        <f>VLOOKUP(C273,'SALARY DETALES'!$B$2:$S$475,18,0)</f>
        <v>45000</v>
      </c>
      <c r="L273" s="60" t="e">
        <f>VLOOKUP(C273,'SALARY DETALES'!B272:C745,2,0)</f>
        <v>#N/A</v>
      </c>
      <c r="O273" s="62" t="str">
        <f>VLOOKUP(C273,'SALARY DETALES'!$B$2:$D$475,3,0)</f>
        <v>BBQ COOCK</v>
      </c>
      <c r="P273" t="s">
        <v>1187</v>
      </c>
      <c r="Q273" t="s">
        <v>1188</v>
      </c>
    </row>
    <row r="274" spans="2:20" x14ac:dyDescent="0.3">
      <c r="B274" s="55">
        <v>272</v>
      </c>
      <c r="C274" s="55">
        <v>80453</v>
      </c>
      <c r="D274" t="s">
        <v>741</v>
      </c>
      <c r="E274" t="s">
        <v>124</v>
      </c>
      <c r="F274" t="s">
        <v>1158</v>
      </c>
      <c r="G274" s="55">
        <v>0</v>
      </c>
      <c r="H274" s="55" t="s">
        <v>1816</v>
      </c>
      <c r="J274" s="57">
        <f>VLOOKUP(C274,'SALARY DETALES'!$B$2:$S$475,18,0)</f>
        <v>35000</v>
      </c>
      <c r="L274" s="60" t="e">
        <f>VLOOKUP(C274,'SALARY DETALES'!B273:C746,2,0)</f>
        <v>#N/A</v>
      </c>
      <c r="O274" s="62" t="str">
        <f>VLOOKUP(C274,'SALARY DETALES'!$B$2:$D$475,3,0)</f>
        <v>BBQ COOCK</v>
      </c>
      <c r="P274" t="s">
        <v>1189</v>
      </c>
      <c r="Q274" t="s">
        <v>1190</v>
      </c>
    </row>
    <row r="275" spans="2:20" x14ac:dyDescent="0.3">
      <c r="B275" s="55">
        <v>273</v>
      </c>
      <c r="C275" s="55">
        <v>80458</v>
      </c>
      <c r="D275" t="s">
        <v>741</v>
      </c>
      <c r="E275" t="s">
        <v>443</v>
      </c>
      <c r="F275" t="s">
        <v>1191</v>
      </c>
      <c r="G275" s="55">
        <v>0</v>
      </c>
      <c r="H275" s="55" t="s">
        <v>1816</v>
      </c>
      <c r="J275" s="57">
        <f>VLOOKUP(C275,'SALARY DETALES'!$B$2:$S$475,18,0)</f>
        <v>16000</v>
      </c>
      <c r="L275" s="60" t="e">
        <f>VLOOKUP(C275,'SALARY DETALES'!B274:C747,2,0)</f>
        <v>#N/A</v>
      </c>
      <c r="O275" s="62" t="str">
        <f>VLOOKUP(C275,'SALARY DETALES'!$B$2:$D$475,3,0)</f>
        <v>Runner</v>
      </c>
      <c r="P275" t="s">
        <v>1192</v>
      </c>
      <c r="Q275" t="s">
        <v>1193</v>
      </c>
      <c r="T275" t="s">
        <v>1194</v>
      </c>
    </row>
    <row r="276" spans="2:20" x14ac:dyDescent="0.3">
      <c r="B276" s="55">
        <v>274</v>
      </c>
      <c r="C276" s="55">
        <v>80461</v>
      </c>
      <c r="D276" t="s">
        <v>741</v>
      </c>
      <c r="E276" t="s">
        <v>360</v>
      </c>
      <c r="F276" t="s">
        <v>1184</v>
      </c>
      <c r="G276" s="55">
        <v>0</v>
      </c>
      <c r="H276" s="55" t="s">
        <v>1816</v>
      </c>
      <c r="J276" s="57">
        <f>VLOOKUP(C276,'SALARY DETALES'!$B$2:$S$475,18,0)</f>
        <v>20000</v>
      </c>
      <c r="L276" s="60" t="e">
        <f>VLOOKUP(C276,'SALARY DETALES'!B275:C748,2,0)</f>
        <v>#N/A</v>
      </c>
      <c r="O276" s="62" t="str">
        <f>VLOOKUP(C276,'SALARY DETALES'!$B$2:$D$475,3,0)</f>
        <v>KUNAFA HELPER</v>
      </c>
      <c r="P276" t="s">
        <v>1195</v>
      </c>
      <c r="Q276" t="s">
        <v>1196</v>
      </c>
    </row>
    <row r="277" spans="2:20" x14ac:dyDescent="0.3">
      <c r="B277" s="55">
        <v>275</v>
      </c>
      <c r="C277" s="55">
        <v>80464</v>
      </c>
      <c r="D277" t="s">
        <v>741</v>
      </c>
      <c r="E277" t="s">
        <v>486</v>
      </c>
      <c r="F277" t="s">
        <v>1197</v>
      </c>
      <c r="G277" s="55">
        <v>0</v>
      </c>
      <c r="H277" s="55" t="s">
        <v>1816</v>
      </c>
      <c r="J277" s="57">
        <f>VLOOKUP(C277,'SALARY DETALES'!$B$2:$S$475,18,0)</f>
        <v>22000</v>
      </c>
      <c r="L277" s="60" t="str">
        <f>VLOOKUP(C277,'SALARY DETALES'!B276:C749,2,0)</f>
        <v>Section A #1</v>
      </c>
      <c r="O277" s="62" t="str">
        <f>VLOOKUP(C277,'SALARY DETALES'!$B$2:$D$475,3,0)</f>
        <v>OT/A</v>
      </c>
      <c r="P277" t="s">
        <v>1198</v>
      </c>
      <c r="Q277" t="s">
        <v>1199</v>
      </c>
    </row>
    <row r="278" spans="2:20" x14ac:dyDescent="0.3">
      <c r="B278" s="55">
        <v>276</v>
      </c>
      <c r="C278" s="55">
        <v>80471</v>
      </c>
      <c r="D278" t="s">
        <v>741</v>
      </c>
      <c r="E278" t="s">
        <v>77</v>
      </c>
      <c r="F278" t="s">
        <v>772</v>
      </c>
      <c r="G278" s="55">
        <v>210</v>
      </c>
      <c r="H278" s="55" t="s">
        <v>1817</v>
      </c>
      <c r="J278" s="57">
        <f>VLOOKUP(C278,'SALARY DETALES'!$B$2:$S$475,18,0)</f>
        <v>25000</v>
      </c>
      <c r="L278" s="60" t="e">
        <f>VLOOKUP(C278,'SALARY DETALES'!B277:C750,2,0)</f>
        <v>#N/A</v>
      </c>
      <c r="O278" s="62" t="str">
        <f>VLOOKUP(C278,'SALARY DETALES'!$B$2:$D$475,3,0)</f>
        <v>Imam Masjid</v>
      </c>
      <c r="P278" t="s">
        <v>1200</v>
      </c>
      <c r="Q278" t="s">
        <v>1201</v>
      </c>
    </row>
    <row r="279" spans="2:20" x14ac:dyDescent="0.3">
      <c r="B279" s="55">
        <v>277</v>
      </c>
      <c r="C279" s="55">
        <v>80472</v>
      </c>
      <c r="D279" t="s">
        <v>741</v>
      </c>
      <c r="E279" t="s">
        <v>511</v>
      </c>
      <c r="F279" t="s">
        <v>1202</v>
      </c>
      <c r="G279" s="55">
        <v>0</v>
      </c>
      <c r="H279" s="55" t="s">
        <v>1816</v>
      </c>
      <c r="J279" s="57">
        <f>VLOOKUP(C279,'SALARY DETALES'!$B$2:$S$475,18,0)</f>
        <v>16000</v>
      </c>
      <c r="L279" s="60" t="str">
        <f>VLOOKUP(C279,'SALARY DETALES'!B278:C751,2,0)</f>
        <v>Section A#2</v>
      </c>
      <c r="O279" s="62" t="str">
        <f>VLOOKUP(C279,'SALARY DETALES'!$B$2:$D$475,3,0)</f>
        <v>B/S</v>
      </c>
      <c r="P279" t="s">
        <v>1203</v>
      </c>
      <c r="Q279" t="s">
        <v>1204</v>
      </c>
      <c r="T279" t="s">
        <v>937</v>
      </c>
    </row>
    <row r="280" spans="2:20" x14ac:dyDescent="0.3">
      <c r="B280" s="55">
        <v>278</v>
      </c>
      <c r="C280" s="55">
        <v>80475</v>
      </c>
      <c r="D280" t="s">
        <v>741</v>
      </c>
      <c r="E280" t="s">
        <v>348</v>
      </c>
      <c r="F280" t="s">
        <v>1205</v>
      </c>
      <c r="G280" s="55">
        <v>0</v>
      </c>
      <c r="H280" s="55" t="s">
        <v>1816</v>
      </c>
      <c r="J280" s="57">
        <f>VLOOKUP(C280,'SALARY DETALES'!$B$2:$S$475,18,0)</f>
        <v>25000</v>
      </c>
      <c r="L280" s="60" t="e">
        <f>VLOOKUP(C280,'SALARY DETALES'!B279:C752,2,0)</f>
        <v>#N/A</v>
      </c>
      <c r="O280" s="62" t="str">
        <f>VLOOKUP(C280,'SALARY DETALES'!$B$2:$D$475,3,0)</f>
        <v>HELPER</v>
      </c>
      <c r="P280" t="s">
        <v>1206</v>
      </c>
      <c r="Q280" t="s">
        <v>1207</v>
      </c>
      <c r="T280" t="s">
        <v>1208</v>
      </c>
    </row>
    <row r="281" spans="2:20" x14ac:dyDescent="0.3">
      <c r="B281" s="55">
        <v>279</v>
      </c>
      <c r="C281" s="55">
        <v>80479</v>
      </c>
      <c r="D281" t="s">
        <v>741</v>
      </c>
      <c r="E281" t="s">
        <v>512</v>
      </c>
      <c r="F281" t="s">
        <v>1205</v>
      </c>
      <c r="G281" s="55">
        <v>0</v>
      </c>
      <c r="H281" s="55" t="s">
        <v>1816</v>
      </c>
      <c r="J281" s="57">
        <f>VLOOKUP(C281,'SALARY DETALES'!$B$2:$S$475,18,0)</f>
        <v>16000</v>
      </c>
      <c r="L281" s="60" t="str">
        <f>VLOOKUP(C281,'SALARY DETALES'!B280:C753,2,0)</f>
        <v>Section A#2</v>
      </c>
      <c r="O281" s="62" t="str">
        <f>VLOOKUP(C281,'SALARY DETALES'!$B$2:$D$475,3,0)</f>
        <v>B/S</v>
      </c>
      <c r="P281" t="s">
        <v>1209</v>
      </c>
      <c r="Q281" t="s">
        <v>1210</v>
      </c>
      <c r="T281" t="s">
        <v>1133</v>
      </c>
    </row>
    <row r="282" spans="2:20" x14ac:dyDescent="0.3">
      <c r="B282" s="55">
        <v>280</v>
      </c>
      <c r="C282" s="55">
        <v>30057</v>
      </c>
      <c r="D282" t="s">
        <v>741</v>
      </c>
      <c r="E282" t="s">
        <v>589</v>
      </c>
      <c r="F282" t="s">
        <v>1211</v>
      </c>
      <c r="G282" s="55">
        <v>0</v>
      </c>
      <c r="H282" s="55" t="s">
        <v>1816</v>
      </c>
      <c r="J282" s="57">
        <f>VLOOKUP(C282,'SALARY DETALES'!$B$2:$S$475,18,0)</f>
        <v>16000</v>
      </c>
      <c r="L282" s="60" t="str">
        <f>VLOOKUP(C282,'SALARY DETALES'!B281:C754,2,0)</f>
        <v>Section D #2</v>
      </c>
      <c r="O282" s="62" t="str">
        <f>VLOOKUP(C282,'SALARY DETALES'!$B$2:$D$475,3,0)</f>
        <v>B/S</v>
      </c>
      <c r="P282" t="s">
        <v>1212</v>
      </c>
      <c r="Q282" t="s">
        <v>1213</v>
      </c>
      <c r="T282" t="s">
        <v>1133</v>
      </c>
    </row>
    <row r="283" spans="2:20" hidden="1" x14ac:dyDescent="0.3">
      <c r="B283" s="55">
        <v>281</v>
      </c>
      <c r="C283" s="55">
        <v>80485</v>
      </c>
      <c r="D283" t="s">
        <v>741</v>
      </c>
      <c r="E283" t="s">
        <v>363</v>
      </c>
      <c r="F283" t="s">
        <v>1214</v>
      </c>
      <c r="G283" s="55">
        <v>0</v>
      </c>
      <c r="H283" s="55" t="s">
        <v>1816</v>
      </c>
      <c r="J283" s="57" t="e">
        <f>VLOOKUP(C283,'SALARY DETALES'!$B$2:$S$475,18,0)</f>
        <v>#N/A</v>
      </c>
      <c r="L283" s="60" t="e">
        <f>VLOOKUP(C283,'SALARY DETALES'!B282:C755,2,0)</f>
        <v>#N/A</v>
      </c>
      <c r="O283" s="62" t="e">
        <f>VLOOKUP(C283,'SALARY DETALES'!$B$2:$D$475,3,0)</f>
        <v>#N/A</v>
      </c>
      <c r="P283" t="s">
        <v>1215</v>
      </c>
      <c r="T283" t="s">
        <v>1216</v>
      </c>
    </row>
    <row r="284" spans="2:20" x14ac:dyDescent="0.3">
      <c r="B284" s="55">
        <v>282</v>
      </c>
      <c r="C284" s="55">
        <v>80486</v>
      </c>
      <c r="D284" t="s">
        <v>741</v>
      </c>
      <c r="E284" t="s">
        <v>542</v>
      </c>
      <c r="F284" t="s">
        <v>934</v>
      </c>
      <c r="G284" s="55">
        <v>0</v>
      </c>
      <c r="H284" s="55" t="s">
        <v>1816</v>
      </c>
      <c r="J284" s="57">
        <f>VLOOKUP(C284,'SALARY DETALES'!$B$2:$S$475,18,0)</f>
        <v>16000</v>
      </c>
      <c r="L284" s="60" t="str">
        <f>VLOOKUP(C284,'SALARY DETALES'!B283:C756,2,0)</f>
        <v>Section B #1</v>
      </c>
      <c r="O284" s="62" t="str">
        <f>VLOOKUP(C284,'SALARY DETALES'!$B$2:$D$475,3,0)</f>
        <v>BST</v>
      </c>
      <c r="P284" t="s">
        <v>1217</v>
      </c>
      <c r="Q284" t="s">
        <v>1218</v>
      </c>
    </row>
    <row r="285" spans="2:20" x14ac:dyDescent="0.3">
      <c r="B285" s="55">
        <v>283</v>
      </c>
      <c r="C285" s="55">
        <v>80487</v>
      </c>
      <c r="D285" t="s">
        <v>741</v>
      </c>
      <c r="E285" t="s">
        <v>170</v>
      </c>
      <c r="F285" t="s">
        <v>1219</v>
      </c>
      <c r="G285" s="55">
        <v>0</v>
      </c>
      <c r="H285" s="55" t="s">
        <v>1816</v>
      </c>
      <c r="J285" s="57">
        <f>VLOOKUP(C285,'SALARY DETALES'!$B$2:$S$475,18,0)</f>
        <v>25000</v>
      </c>
      <c r="L285" s="60" t="e">
        <f>VLOOKUP(C285,'SALARY DETALES'!B284:C757,2,0)</f>
        <v>#N/A</v>
      </c>
      <c r="O285" s="62" t="str">
        <f>VLOOKUP(C285,'SALARY DETALES'!$B$2:$D$475,3,0)</f>
        <v>CHINESE HELPER</v>
      </c>
      <c r="P285" t="s">
        <v>1220</v>
      </c>
      <c r="Q285" t="s">
        <v>1221</v>
      </c>
    </row>
    <row r="286" spans="2:20" x14ac:dyDescent="0.3">
      <c r="B286" s="55">
        <v>284</v>
      </c>
      <c r="C286" s="55">
        <v>80489</v>
      </c>
      <c r="D286" t="s">
        <v>741</v>
      </c>
      <c r="E286" t="s">
        <v>646</v>
      </c>
      <c r="F286" t="s">
        <v>1222</v>
      </c>
      <c r="G286" s="55">
        <v>0</v>
      </c>
      <c r="H286" s="55" t="s">
        <v>1816</v>
      </c>
      <c r="J286" s="57">
        <f>VLOOKUP(C286,'SALARY DETALES'!$B$2:$S$475,18,0)</f>
        <v>16000</v>
      </c>
      <c r="L286" s="60" t="str">
        <f>VLOOKUP(C286,'SALARY DETALES'!B285:C758,2,0)</f>
        <v>Section F2</v>
      </c>
      <c r="O286" s="62" t="str">
        <f>VLOOKUP(C286,'SALARY DETALES'!$B$2:$D$475,3,0)</f>
        <v>BW/F</v>
      </c>
      <c r="P286" t="s">
        <v>1223</v>
      </c>
      <c r="Q286" t="s">
        <v>1224</v>
      </c>
    </row>
    <row r="287" spans="2:20" x14ac:dyDescent="0.3">
      <c r="B287" s="55">
        <v>285</v>
      </c>
      <c r="C287" s="55">
        <v>80491</v>
      </c>
      <c r="D287" t="s">
        <v>741</v>
      </c>
      <c r="E287" t="s">
        <v>301</v>
      </c>
      <c r="F287" t="s">
        <v>1225</v>
      </c>
      <c r="G287" s="55">
        <v>495</v>
      </c>
      <c r="H287" s="55" t="s">
        <v>1817</v>
      </c>
      <c r="J287" s="57">
        <f>VLOOKUP(C287,'SALARY DETALES'!$B$2:$S$475,18,0)</f>
        <v>28000</v>
      </c>
      <c r="L287" s="60" t="e">
        <f>VLOOKUP(C287,'SALARY DETALES'!B286:C759,2,0)</f>
        <v>#N/A</v>
      </c>
      <c r="O287" s="62" t="str">
        <f>VLOOKUP(C287,'SALARY DETALES'!$B$2:$D$475,3,0)</f>
        <v>GRO</v>
      </c>
      <c r="P287" t="s">
        <v>1226</v>
      </c>
      <c r="Q287" t="s">
        <v>1227</v>
      </c>
      <c r="T287" t="s">
        <v>1228</v>
      </c>
    </row>
    <row r="288" spans="2:20" hidden="1" x14ac:dyDescent="0.3">
      <c r="B288" s="55">
        <v>286</v>
      </c>
      <c r="C288" s="55">
        <v>197</v>
      </c>
      <c r="D288" t="s">
        <v>719</v>
      </c>
      <c r="E288" t="s">
        <v>1732</v>
      </c>
      <c r="F288" t="s">
        <v>878</v>
      </c>
      <c r="G288" s="55">
        <v>180</v>
      </c>
      <c r="H288" s="55" t="s">
        <v>1817</v>
      </c>
      <c r="J288" s="57" t="e">
        <f>VLOOKUP(C288,'SALARY DETALES'!$B$2:$S$475,18,0)</f>
        <v>#N/A</v>
      </c>
      <c r="L288" s="60" t="e">
        <f>VLOOKUP(C288,'SALARY DETALES'!B287:C760,2,0)</f>
        <v>#N/A</v>
      </c>
      <c r="O288" s="62" t="e">
        <f>VLOOKUP(C288,'SALARY DETALES'!$B$2:$D$475,3,0)</f>
        <v>#N/A</v>
      </c>
    </row>
    <row r="289" spans="2:17" hidden="1" x14ac:dyDescent="0.3">
      <c r="B289" s="55">
        <v>287</v>
      </c>
      <c r="C289" s="55">
        <v>80493</v>
      </c>
      <c r="D289" t="s">
        <v>719</v>
      </c>
      <c r="E289" t="s">
        <v>231</v>
      </c>
      <c r="F289" t="s">
        <v>878</v>
      </c>
      <c r="G289" s="55">
        <v>90</v>
      </c>
      <c r="H289" s="55" t="s">
        <v>1817</v>
      </c>
      <c r="J289" s="57" t="e">
        <f>VLOOKUP(C289,'SALARY DETALES'!$B$2:$S$475,18,0)</f>
        <v>#N/A</v>
      </c>
      <c r="L289" s="60" t="e">
        <f>VLOOKUP(C289,'SALARY DETALES'!B288:C761,2,0)</f>
        <v>#N/A</v>
      </c>
      <c r="O289" s="62" t="e">
        <f>VLOOKUP(C289,'SALARY DETALES'!$B$2:$D$475,3,0)</f>
        <v>#N/A</v>
      </c>
    </row>
    <row r="290" spans="2:17" hidden="1" x14ac:dyDescent="0.3">
      <c r="B290" s="55">
        <v>288</v>
      </c>
      <c r="C290" s="55">
        <v>179</v>
      </c>
      <c r="D290" t="s">
        <v>719</v>
      </c>
      <c r="E290" t="s">
        <v>1733</v>
      </c>
      <c r="F290" t="s">
        <v>878</v>
      </c>
      <c r="G290" s="55">
        <v>180</v>
      </c>
      <c r="H290" s="55" t="s">
        <v>1817</v>
      </c>
      <c r="J290" s="57" t="e">
        <f>VLOOKUP(C290,'SALARY DETALES'!$B$2:$S$475,18,0)</f>
        <v>#N/A</v>
      </c>
      <c r="L290" s="60" t="e">
        <f>VLOOKUP(C290,'SALARY DETALES'!B289:C762,2,0)</f>
        <v>#N/A</v>
      </c>
      <c r="O290" s="62" t="e">
        <f>VLOOKUP(C290,'SALARY DETALES'!$B$2:$D$475,3,0)</f>
        <v>#N/A</v>
      </c>
    </row>
    <row r="291" spans="2:17" hidden="1" x14ac:dyDescent="0.3">
      <c r="B291" s="55">
        <v>289</v>
      </c>
      <c r="C291" s="55">
        <v>111</v>
      </c>
      <c r="D291" t="s">
        <v>741</v>
      </c>
      <c r="E291" t="s">
        <v>1734</v>
      </c>
      <c r="F291" t="s">
        <v>878</v>
      </c>
      <c r="G291" s="55">
        <v>75</v>
      </c>
      <c r="H291" s="55" t="s">
        <v>1817</v>
      </c>
      <c r="J291" s="57" t="e">
        <f>VLOOKUP(C291,'SALARY DETALES'!$B$2:$S$475,18,0)</f>
        <v>#N/A</v>
      </c>
      <c r="L291" s="60" t="e">
        <f>VLOOKUP(C291,'SALARY DETALES'!B290:C763,2,0)</f>
        <v>#N/A</v>
      </c>
      <c r="O291" s="62" t="e">
        <f>VLOOKUP(C291,'SALARY DETALES'!$B$2:$D$475,3,0)</f>
        <v>#N/A</v>
      </c>
    </row>
    <row r="292" spans="2:17" hidden="1" x14ac:dyDescent="0.3">
      <c r="B292" s="55">
        <v>290</v>
      </c>
      <c r="C292" s="55">
        <v>80524</v>
      </c>
      <c r="D292" t="s">
        <v>741</v>
      </c>
      <c r="E292" t="s">
        <v>1735</v>
      </c>
      <c r="F292" t="s">
        <v>878</v>
      </c>
      <c r="G292" s="55">
        <v>60</v>
      </c>
      <c r="H292" s="55" t="s">
        <v>1817</v>
      </c>
      <c r="J292" s="57" t="e">
        <f>VLOOKUP(C292,'SALARY DETALES'!$B$2:$S$475,18,0)</f>
        <v>#N/A</v>
      </c>
      <c r="L292" s="60" t="e">
        <f>VLOOKUP(C292,'SALARY DETALES'!B291:C764,2,0)</f>
        <v>#N/A</v>
      </c>
      <c r="O292" s="62" t="e">
        <f>VLOOKUP(C292,'SALARY DETALES'!$B$2:$D$475,3,0)</f>
        <v>#N/A</v>
      </c>
    </row>
    <row r="293" spans="2:17" hidden="1" x14ac:dyDescent="0.3">
      <c r="B293" s="55">
        <v>291</v>
      </c>
      <c r="C293" s="55">
        <v>118</v>
      </c>
      <c r="D293" t="s">
        <v>741</v>
      </c>
      <c r="E293" t="s">
        <v>1736</v>
      </c>
      <c r="F293" t="s">
        <v>878</v>
      </c>
      <c r="G293" s="55">
        <v>240</v>
      </c>
      <c r="H293" s="55" t="s">
        <v>1817</v>
      </c>
      <c r="J293" s="57" t="e">
        <f>VLOOKUP(C293,'SALARY DETALES'!$B$2:$S$475,18,0)</f>
        <v>#N/A</v>
      </c>
      <c r="L293" s="60" t="e">
        <f>VLOOKUP(C293,'SALARY DETALES'!B292:C765,2,0)</f>
        <v>#N/A</v>
      </c>
      <c r="O293" s="62" t="e">
        <f>VLOOKUP(C293,'SALARY DETALES'!$B$2:$D$475,3,0)</f>
        <v>#N/A</v>
      </c>
    </row>
    <row r="294" spans="2:17" hidden="1" x14ac:dyDescent="0.3">
      <c r="B294" s="55">
        <v>292</v>
      </c>
      <c r="C294" s="55">
        <v>196</v>
      </c>
      <c r="D294" t="s">
        <v>741</v>
      </c>
      <c r="E294" t="s">
        <v>1737</v>
      </c>
      <c r="F294" t="s">
        <v>878</v>
      </c>
      <c r="G294" s="55">
        <v>240</v>
      </c>
      <c r="H294" s="55" t="s">
        <v>1817</v>
      </c>
      <c r="J294" s="57" t="e">
        <f>VLOOKUP(C294,'SALARY DETALES'!$B$2:$S$475,18,0)</f>
        <v>#N/A</v>
      </c>
      <c r="L294" s="60" t="e">
        <f>VLOOKUP(C294,'SALARY DETALES'!B293:C766,2,0)</f>
        <v>#N/A</v>
      </c>
      <c r="O294" s="62" t="e">
        <f>VLOOKUP(C294,'SALARY DETALES'!$B$2:$D$475,3,0)</f>
        <v>#N/A</v>
      </c>
    </row>
    <row r="295" spans="2:17" hidden="1" x14ac:dyDescent="0.3">
      <c r="B295" s="55">
        <v>293</v>
      </c>
      <c r="C295" s="55">
        <v>182</v>
      </c>
      <c r="D295" t="s">
        <v>741</v>
      </c>
      <c r="E295" t="s">
        <v>1738</v>
      </c>
      <c r="F295" t="s">
        <v>878</v>
      </c>
      <c r="G295" s="55">
        <v>60</v>
      </c>
      <c r="H295" s="55" t="s">
        <v>1817</v>
      </c>
      <c r="J295" s="57" t="e">
        <f>VLOOKUP(C295,'SALARY DETALES'!$B$2:$S$475,18,0)</f>
        <v>#N/A</v>
      </c>
      <c r="L295" s="60" t="e">
        <f>VLOOKUP(C295,'SALARY DETALES'!B294:C767,2,0)</f>
        <v>#N/A</v>
      </c>
      <c r="O295" s="62" t="e">
        <f>VLOOKUP(C295,'SALARY DETALES'!$B$2:$D$475,3,0)</f>
        <v>#N/A</v>
      </c>
    </row>
    <row r="296" spans="2:17" x14ac:dyDescent="0.3">
      <c r="B296" s="55">
        <v>294</v>
      </c>
      <c r="C296" s="55">
        <v>11004</v>
      </c>
      <c r="D296" t="s">
        <v>741</v>
      </c>
      <c r="E296" t="s">
        <v>1739</v>
      </c>
      <c r="F296" t="s">
        <v>878</v>
      </c>
      <c r="G296" s="55">
        <v>240</v>
      </c>
      <c r="H296" s="55" t="s">
        <v>1817</v>
      </c>
      <c r="J296" s="57">
        <f>VLOOKUP(C296,'SALARY DETALES'!$B$2:$S$475,18,0)</f>
        <v>27500</v>
      </c>
      <c r="L296" s="60" t="e">
        <f>VLOOKUP(C296,'SALARY DETALES'!B295:C768,2,0)</f>
        <v>#N/A</v>
      </c>
      <c r="O296" s="62" t="str">
        <f>VLOOKUP(C296,'SALARY DETALES'!$B$2:$D$475,3,0)</f>
        <v>PLAY LAND</v>
      </c>
    </row>
    <row r="297" spans="2:17" hidden="1" x14ac:dyDescent="0.3">
      <c r="B297" s="55">
        <v>295</v>
      </c>
      <c r="C297" s="55">
        <v>202</v>
      </c>
      <c r="D297" t="s">
        <v>741</v>
      </c>
      <c r="E297" t="s">
        <v>1740</v>
      </c>
      <c r="F297" t="s">
        <v>878</v>
      </c>
      <c r="G297" s="55">
        <v>60</v>
      </c>
      <c r="H297" s="55" t="s">
        <v>1817</v>
      </c>
      <c r="J297" s="57" t="e">
        <f>VLOOKUP(C297,'SALARY DETALES'!$B$2:$S$475,18,0)</f>
        <v>#N/A</v>
      </c>
      <c r="L297" s="60" t="e">
        <f>VLOOKUP(C297,'SALARY DETALES'!B296:C769,2,0)</f>
        <v>#N/A</v>
      </c>
      <c r="O297" s="62" t="e">
        <f>VLOOKUP(C297,'SALARY DETALES'!$B$2:$D$475,3,0)</f>
        <v>#N/A</v>
      </c>
    </row>
    <row r="298" spans="2:17" hidden="1" x14ac:dyDescent="0.3">
      <c r="B298" s="55">
        <v>296</v>
      </c>
      <c r="C298" s="55">
        <v>185</v>
      </c>
      <c r="D298" t="s">
        <v>741</v>
      </c>
      <c r="E298" t="s">
        <v>1741</v>
      </c>
      <c r="F298" t="s">
        <v>878</v>
      </c>
      <c r="G298" s="55">
        <v>240</v>
      </c>
      <c r="H298" s="55" t="s">
        <v>1817</v>
      </c>
      <c r="J298" s="57" t="e">
        <f>VLOOKUP(C298,'SALARY DETALES'!$B$2:$S$475,18,0)</f>
        <v>#N/A</v>
      </c>
      <c r="L298" s="60" t="e">
        <f>VLOOKUP(C298,'SALARY DETALES'!B297:C770,2,0)</f>
        <v>#N/A</v>
      </c>
      <c r="O298" s="62" t="e">
        <f>VLOOKUP(C298,'SALARY DETALES'!$B$2:$D$475,3,0)</f>
        <v>#N/A</v>
      </c>
    </row>
    <row r="299" spans="2:17" hidden="1" x14ac:dyDescent="0.3">
      <c r="B299" s="55">
        <v>297</v>
      </c>
      <c r="C299" s="55">
        <v>192</v>
      </c>
      <c r="D299" t="s">
        <v>741</v>
      </c>
      <c r="E299" t="s">
        <v>124</v>
      </c>
      <c r="F299" t="s">
        <v>878</v>
      </c>
      <c r="G299" s="55">
        <v>90</v>
      </c>
      <c r="H299" s="55" t="s">
        <v>1817</v>
      </c>
      <c r="J299" s="57" t="e">
        <f>VLOOKUP(C299,'SALARY DETALES'!$B$2:$S$475,18,0)</f>
        <v>#N/A</v>
      </c>
      <c r="L299" s="60" t="e">
        <f>VLOOKUP(C299,'SALARY DETALES'!B298:C771,2,0)</f>
        <v>#N/A</v>
      </c>
      <c r="O299" s="62" t="e">
        <f>VLOOKUP(C299,'SALARY DETALES'!$B$2:$D$475,3,0)</f>
        <v>#N/A</v>
      </c>
    </row>
    <row r="300" spans="2:17" x14ac:dyDescent="0.3">
      <c r="B300" s="55">
        <v>298</v>
      </c>
      <c r="C300" s="55">
        <v>34028</v>
      </c>
      <c r="D300" t="s">
        <v>741</v>
      </c>
      <c r="E300" t="s">
        <v>1742</v>
      </c>
      <c r="F300" t="s">
        <v>878</v>
      </c>
      <c r="G300" s="55">
        <v>180</v>
      </c>
      <c r="H300" s="55" t="s">
        <v>1817</v>
      </c>
      <c r="J300" s="57">
        <f>VLOOKUP(C300,'SALARY DETALES'!$B$2:$S$475,18,0)</f>
        <v>55000</v>
      </c>
      <c r="L300" s="60" t="e">
        <f>VLOOKUP(C300,'SALARY DETALES'!B299:C772,2,0)</f>
        <v>#N/A</v>
      </c>
      <c r="O300" s="62" t="str">
        <f>VLOOKUP(C300,'SALARY DETALES'!$B$2:$D$475,3,0)</f>
        <v>MALI</v>
      </c>
    </row>
    <row r="301" spans="2:17" hidden="1" x14ac:dyDescent="0.3">
      <c r="B301" s="55">
        <v>299</v>
      </c>
      <c r="C301" s="55">
        <v>80501</v>
      </c>
      <c r="D301" t="s">
        <v>741</v>
      </c>
      <c r="E301" t="s">
        <v>1743</v>
      </c>
      <c r="F301" t="s">
        <v>878</v>
      </c>
      <c r="G301" s="55">
        <v>180</v>
      </c>
      <c r="H301" s="55" t="s">
        <v>1817</v>
      </c>
      <c r="J301" s="57" t="e">
        <f>VLOOKUP(C301,'SALARY DETALES'!$B$2:$S$475,18,0)</f>
        <v>#N/A</v>
      </c>
      <c r="L301" s="60" t="e">
        <f>VLOOKUP(C301,'SALARY DETALES'!B300:C773,2,0)</f>
        <v>#N/A</v>
      </c>
      <c r="O301" s="62" t="e">
        <f>VLOOKUP(C301,'SALARY DETALES'!$B$2:$D$475,3,0)</f>
        <v>#N/A</v>
      </c>
      <c r="Q301" t="s">
        <v>1229</v>
      </c>
    </row>
    <row r="302" spans="2:17" hidden="1" x14ac:dyDescent="0.3">
      <c r="B302" s="55">
        <v>300</v>
      </c>
      <c r="C302" s="55">
        <v>80502</v>
      </c>
      <c r="D302" t="s">
        <v>741</v>
      </c>
      <c r="E302" t="s">
        <v>1744</v>
      </c>
      <c r="F302" t="s">
        <v>878</v>
      </c>
      <c r="G302" s="55">
        <v>180</v>
      </c>
      <c r="H302" s="55" t="s">
        <v>1817</v>
      </c>
      <c r="J302" s="57" t="e">
        <f>VLOOKUP(C302,'SALARY DETALES'!$B$2:$S$475,18,0)</f>
        <v>#N/A</v>
      </c>
      <c r="L302" s="60" t="e">
        <f>VLOOKUP(C302,'SALARY DETALES'!B301:C774,2,0)</f>
        <v>#N/A</v>
      </c>
      <c r="O302" s="62" t="e">
        <f>VLOOKUP(C302,'SALARY DETALES'!$B$2:$D$475,3,0)</f>
        <v>#N/A</v>
      </c>
      <c r="Q302" t="s">
        <v>1230</v>
      </c>
    </row>
    <row r="303" spans="2:17" hidden="1" x14ac:dyDescent="0.3">
      <c r="B303" s="55">
        <v>301</v>
      </c>
      <c r="C303" s="55">
        <v>80505</v>
      </c>
      <c r="D303" t="s">
        <v>741</v>
      </c>
      <c r="E303" t="s">
        <v>1745</v>
      </c>
      <c r="F303" t="s">
        <v>878</v>
      </c>
      <c r="G303" s="55">
        <v>180</v>
      </c>
      <c r="H303" s="55" t="s">
        <v>1817</v>
      </c>
      <c r="J303" s="57" t="e">
        <f>VLOOKUP(C303,'SALARY DETALES'!$B$2:$S$475,18,0)</f>
        <v>#N/A</v>
      </c>
      <c r="L303" s="60" t="e">
        <f>VLOOKUP(C303,'SALARY DETALES'!B302:C775,2,0)</f>
        <v>#N/A</v>
      </c>
      <c r="O303" s="62" t="e">
        <f>VLOOKUP(C303,'SALARY DETALES'!$B$2:$D$475,3,0)</f>
        <v>#N/A</v>
      </c>
    </row>
    <row r="304" spans="2:17" x14ac:dyDescent="0.3">
      <c r="B304" s="55">
        <v>302</v>
      </c>
      <c r="C304" s="55">
        <v>80509</v>
      </c>
      <c r="D304" t="s">
        <v>741</v>
      </c>
      <c r="E304" t="s">
        <v>269</v>
      </c>
      <c r="F304" t="s">
        <v>1219</v>
      </c>
      <c r="G304" s="55">
        <v>0</v>
      </c>
      <c r="H304" s="55" t="s">
        <v>1816</v>
      </c>
      <c r="J304" s="57">
        <f>VLOOKUP(C304,'SALARY DETALES'!$B$2:$S$475,18,0)</f>
        <v>16000</v>
      </c>
      <c r="L304" s="60" t="e">
        <f>VLOOKUP(C304,'SALARY DETALES'!B303:C776,2,0)</f>
        <v>#N/A</v>
      </c>
      <c r="O304" s="62" t="str">
        <f>VLOOKUP(C304,'SALARY DETALES'!$B$2:$D$475,3,0)</f>
        <v>WIPPING</v>
      </c>
      <c r="P304" t="s">
        <v>1231</v>
      </c>
      <c r="Q304" t="s">
        <v>1232</v>
      </c>
    </row>
    <row r="305" spans="2:20" x14ac:dyDescent="0.3">
      <c r="B305" s="55">
        <v>303</v>
      </c>
      <c r="C305" s="55">
        <v>80512</v>
      </c>
      <c r="D305" t="s">
        <v>741</v>
      </c>
      <c r="E305" t="s">
        <v>543</v>
      </c>
      <c r="F305" t="s">
        <v>1060</v>
      </c>
      <c r="G305" s="55">
        <v>0</v>
      </c>
      <c r="H305" s="55" t="s">
        <v>1816</v>
      </c>
      <c r="J305" s="57">
        <f>VLOOKUP(C305,'SALARY DETALES'!$B$2:$S$475,18,0)</f>
        <v>16000</v>
      </c>
      <c r="L305" s="60" t="str">
        <f>VLOOKUP(C305,'SALARY DETALES'!B304:C777,2,0)</f>
        <v>Section B #1</v>
      </c>
      <c r="O305" s="62" t="str">
        <f>VLOOKUP(C305,'SALARY DETALES'!$B$2:$D$475,3,0)</f>
        <v>BW/B</v>
      </c>
      <c r="P305" t="s">
        <v>1233</v>
      </c>
      <c r="Q305" t="s">
        <v>1234</v>
      </c>
    </row>
    <row r="306" spans="2:20" x14ac:dyDescent="0.3">
      <c r="B306" s="55">
        <v>304</v>
      </c>
      <c r="C306" s="55">
        <v>80513</v>
      </c>
      <c r="D306" t="s">
        <v>741</v>
      </c>
      <c r="E306" t="s">
        <v>208</v>
      </c>
      <c r="F306" t="s">
        <v>1235</v>
      </c>
      <c r="G306" s="55">
        <v>405</v>
      </c>
      <c r="H306" s="55" t="s">
        <v>1817</v>
      </c>
      <c r="J306" s="57">
        <f>VLOOKUP(C306,'SALARY DETALES'!$B$2:$S$475,18,0)</f>
        <v>28000</v>
      </c>
      <c r="L306" s="60" t="e">
        <f>VLOOKUP(C306,'SALARY DETALES'!B305:C778,2,0)</f>
        <v>#N/A</v>
      </c>
      <c r="O306" s="62" t="str">
        <f>VLOOKUP(C306,'SALARY DETALES'!$B$2:$D$475,3,0)</f>
        <v>Event Assistant</v>
      </c>
      <c r="P306" t="s">
        <v>1236</v>
      </c>
      <c r="Q306" t="s">
        <v>1237</v>
      </c>
    </row>
    <row r="307" spans="2:20" x14ac:dyDescent="0.3">
      <c r="B307" s="55">
        <v>305</v>
      </c>
      <c r="C307" s="55">
        <v>80516</v>
      </c>
      <c r="D307" t="s">
        <v>741</v>
      </c>
      <c r="E307" t="s">
        <v>270</v>
      </c>
      <c r="F307" t="s">
        <v>1238</v>
      </c>
      <c r="G307" s="55">
        <v>0</v>
      </c>
      <c r="H307" s="55" t="s">
        <v>1816</v>
      </c>
      <c r="J307" s="57">
        <f>VLOOKUP(C307,'SALARY DETALES'!$B$2:$S$475,18,0)</f>
        <v>16000</v>
      </c>
      <c r="L307" s="60" t="e">
        <f>VLOOKUP(C307,'SALARY DETALES'!B306:C779,2,0)</f>
        <v>#N/A</v>
      </c>
      <c r="O307" s="62" t="str">
        <f>VLOOKUP(C307,'SALARY DETALES'!$B$2:$D$475,3,0)</f>
        <v>WIPPING</v>
      </c>
      <c r="P307" t="s">
        <v>1239</v>
      </c>
      <c r="Q307" t="s">
        <v>1240</v>
      </c>
    </row>
    <row r="308" spans="2:20" hidden="1" x14ac:dyDescent="0.3">
      <c r="B308" s="55">
        <v>306</v>
      </c>
      <c r="C308" s="55">
        <v>80517</v>
      </c>
      <c r="D308" t="s">
        <v>741</v>
      </c>
      <c r="E308" t="s">
        <v>1746</v>
      </c>
      <c r="F308" t="s">
        <v>1241</v>
      </c>
      <c r="G308" s="55">
        <v>0</v>
      </c>
      <c r="H308" s="55" t="s">
        <v>1816</v>
      </c>
      <c r="J308" s="57" t="e">
        <f>VLOOKUP(C308,'SALARY DETALES'!$B$2:$S$475,18,0)</f>
        <v>#N/A</v>
      </c>
      <c r="L308" s="60" t="e">
        <f>VLOOKUP(C308,'SALARY DETALES'!B307:C780,2,0)</f>
        <v>#N/A</v>
      </c>
      <c r="O308" s="62" t="e">
        <f>VLOOKUP(C308,'SALARY DETALES'!$B$2:$D$475,3,0)</f>
        <v>#N/A</v>
      </c>
      <c r="P308" t="s">
        <v>1242</v>
      </c>
    </row>
    <row r="309" spans="2:20" hidden="1" x14ac:dyDescent="0.3">
      <c r="B309" s="55">
        <v>307</v>
      </c>
      <c r="C309" s="55">
        <v>80518</v>
      </c>
      <c r="D309" t="s">
        <v>741</v>
      </c>
      <c r="E309" t="s">
        <v>1747</v>
      </c>
      <c r="F309" t="s">
        <v>878</v>
      </c>
      <c r="G309" s="55">
        <v>0</v>
      </c>
      <c r="H309" s="55" t="s">
        <v>1816</v>
      </c>
      <c r="J309" s="57" t="e">
        <f>VLOOKUP(C309,'SALARY DETALES'!$B$2:$S$475,18,0)</f>
        <v>#N/A</v>
      </c>
      <c r="L309" s="60" t="e">
        <f>VLOOKUP(C309,'SALARY DETALES'!B308:C781,2,0)</f>
        <v>#N/A</v>
      </c>
      <c r="O309" s="62" t="e">
        <f>VLOOKUP(C309,'SALARY DETALES'!$B$2:$D$475,3,0)</f>
        <v>#N/A</v>
      </c>
      <c r="P309" t="s">
        <v>1243</v>
      </c>
    </row>
    <row r="310" spans="2:20" x14ac:dyDescent="0.3">
      <c r="B310" s="55">
        <v>308</v>
      </c>
      <c r="C310" s="55">
        <v>80521</v>
      </c>
      <c r="D310" t="s">
        <v>741</v>
      </c>
      <c r="E310" t="s">
        <v>386</v>
      </c>
      <c r="F310" t="s">
        <v>1244</v>
      </c>
      <c r="G310" s="55">
        <v>420</v>
      </c>
      <c r="H310" s="55" t="s">
        <v>1817</v>
      </c>
      <c r="J310" s="57">
        <f>VLOOKUP(C310,'SALARY DETALES'!$B$2:$S$475,18,0)</f>
        <v>30000</v>
      </c>
      <c r="L310" s="60" t="e">
        <f>VLOOKUP(C310,'SALARY DETALES'!B309:C782,2,0)</f>
        <v>#N/A</v>
      </c>
      <c r="O310" s="62" t="str">
        <f>VLOOKUP(C310,'SALARY DETALES'!$B$2:$D$475,3,0)</f>
        <v>GENERATOR OPERATOR</v>
      </c>
      <c r="P310" t="s">
        <v>1245</v>
      </c>
      <c r="Q310" t="s">
        <v>1246</v>
      </c>
    </row>
    <row r="311" spans="2:20" x14ac:dyDescent="0.3">
      <c r="B311" s="55">
        <v>309</v>
      </c>
      <c r="C311" s="55">
        <v>80523</v>
      </c>
      <c r="D311" t="s">
        <v>741</v>
      </c>
      <c r="E311" t="s">
        <v>440</v>
      </c>
      <c r="F311" t="s">
        <v>1247</v>
      </c>
      <c r="G311" s="55">
        <v>0</v>
      </c>
      <c r="H311" s="55" t="s">
        <v>1816</v>
      </c>
      <c r="J311" s="57">
        <f>VLOOKUP(C311,'SALARY DETALES'!$B$2:$S$475,18,0)</f>
        <v>22000</v>
      </c>
      <c r="L311" s="60" t="e">
        <f>VLOOKUP(C311,'SALARY DETALES'!B310:C783,2,0)</f>
        <v>#N/A</v>
      </c>
      <c r="O311" s="62" t="str">
        <f>VLOOKUP(C311,'SALARY DETALES'!$B$2:$D$475,3,0)</f>
        <v>PULAO HELPER</v>
      </c>
      <c r="P311" t="s">
        <v>1248</v>
      </c>
      <c r="Q311" t="s">
        <v>1249</v>
      </c>
    </row>
    <row r="312" spans="2:20" x14ac:dyDescent="0.3">
      <c r="B312" s="55">
        <v>310</v>
      </c>
      <c r="C312" s="55">
        <v>80704</v>
      </c>
      <c r="D312" t="s">
        <v>741</v>
      </c>
      <c r="E312" t="s">
        <v>513</v>
      </c>
      <c r="F312" t="s">
        <v>1250</v>
      </c>
      <c r="G312" s="55">
        <v>0</v>
      </c>
      <c r="H312" s="55" t="s">
        <v>1816</v>
      </c>
      <c r="J312" s="57">
        <f>VLOOKUP(C312,'SALARY DETALES'!$B$2:$S$475,18,0)</f>
        <v>16000</v>
      </c>
      <c r="L312" s="60" t="e">
        <f>VLOOKUP(C312,'SALARY DETALES'!B311:C784,2,0)</f>
        <v>#N/A</v>
      </c>
      <c r="O312" s="62" t="str">
        <f>VLOOKUP(C312,'SALARY DETALES'!$B$2:$D$475,3,0)</f>
        <v>BW/A</v>
      </c>
      <c r="P312" t="s">
        <v>1251</v>
      </c>
      <c r="Q312" t="s">
        <v>1252</v>
      </c>
    </row>
    <row r="313" spans="2:20" x14ac:dyDescent="0.3">
      <c r="B313" s="55">
        <v>311</v>
      </c>
      <c r="C313" s="55">
        <v>80525</v>
      </c>
      <c r="D313" t="s">
        <v>741</v>
      </c>
      <c r="E313" t="s">
        <v>196</v>
      </c>
      <c r="F313" t="s">
        <v>1253</v>
      </c>
      <c r="G313" s="55">
        <v>0</v>
      </c>
      <c r="H313" s="55" t="s">
        <v>1816</v>
      </c>
      <c r="J313" s="57">
        <f>VLOOKUP(C313,'SALARY DETALES'!$B$2:$S$475,18,0)</f>
        <v>25000</v>
      </c>
      <c r="L313" s="60" t="e">
        <f>VLOOKUP(C313,'SALARY DETALES'!B312:C785,2,0)</f>
        <v>#N/A</v>
      </c>
      <c r="O313" s="62" t="str">
        <f>VLOOKUP(C313,'SALARY DETALES'!$B$2:$D$475,3,0)</f>
        <v>HELPER</v>
      </c>
      <c r="P313" t="s">
        <v>1254</v>
      </c>
      <c r="Q313" t="s">
        <v>1255</v>
      </c>
    </row>
    <row r="314" spans="2:20" x14ac:dyDescent="0.3">
      <c r="B314" s="55">
        <v>312</v>
      </c>
      <c r="C314" s="55">
        <v>80527</v>
      </c>
      <c r="D314" t="s">
        <v>741</v>
      </c>
      <c r="E314" t="s">
        <v>79</v>
      </c>
      <c r="F314" t="s">
        <v>1247</v>
      </c>
      <c r="G314" s="55">
        <v>150</v>
      </c>
      <c r="H314" s="55" t="s">
        <v>1817</v>
      </c>
      <c r="J314" s="57">
        <f>VLOOKUP(C314,'SALARY DETALES'!$B$2:$S$475,18,0)</f>
        <v>175000</v>
      </c>
      <c r="L314" s="60" t="e">
        <f>VLOOKUP(C314,'SALARY DETALES'!B313:C786,2,0)</f>
        <v>#N/A</v>
      </c>
      <c r="O314" s="62" t="str">
        <f>VLOOKUP(C314,'SALARY DETALES'!$B$2:$D$475,3,0)</f>
        <v>G.M</v>
      </c>
      <c r="P314" t="s">
        <v>1256</v>
      </c>
      <c r="Q314" t="s">
        <v>1257</v>
      </c>
      <c r="R314" t="s">
        <v>1258</v>
      </c>
      <c r="T314" t="s">
        <v>745</v>
      </c>
    </row>
    <row r="315" spans="2:20" hidden="1" x14ac:dyDescent="0.3">
      <c r="B315" s="55">
        <v>313</v>
      </c>
      <c r="C315" s="55">
        <v>80528</v>
      </c>
      <c r="D315" t="s">
        <v>719</v>
      </c>
      <c r="E315" t="s">
        <v>1748</v>
      </c>
      <c r="F315" t="s">
        <v>1247</v>
      </c>
      <c r="G315" s="55">
        <v>210</v>
      </c>
      <c r="H315" s="55" t="s">
        <v>1817</v>
      </c>
      <c r="J315" s="57" t="e">
        <f>VLOOKUP(C315,'SALARY DETALES'!$B$2:$S$475,18,0)</f>
        <v>#N/A</v>
      </c>
      <c r="L315" s="60" t="e">
        <f>VLOOKUP(C315,'SALARY DETALES'!B314:C787,2,0)</f>
        <v>#N/A</v>
      </c>
      <c r="O315" s="62" t="e">
        <f>VLOOKUP(C315,'SALARY DETALES'!$B$2:$D$475,3,0)</f>
        <v>#N/A</v>
      </c>
      <c r="P315" t="s">
        <v>1259</v>
      </c>
      <c r="Q315" t="s">
        <v>1260</v>
      </c>
    </row>
    <row r="316" spans="2:20" x14ac:dyDescent="0.3">
      <c r="B316" s="55">
        <v>314</v>
      </c>
      <c r="C316" s="55">
        <v>80529</v>
      </c>
      <c r="D316" t="s">
        <v>741</v>
      </c>
      <c r="E316" t="s">
        <v>197</v>
      </c>
      <c r="F316" t="s">
        <v>1261</v>
      </c>
      <c r="G316" s="55">
        <v>0</v>
      </c>
      <c r="H316" s="55" t="s">
        <v>1816</v>
      </c>
      <c r="J316" s="57">
        <f>VLOOKUP(C316,'SALARY DETALES'!$B$2:$S$475,18,0)</f>
        <v>23000</v>
      </c>
      <c r="L316" s="60" t="e">
        <f>VLOOKUP(C316,'SALARY DETALES'!B315:C788,2,0)</f>
        <v>#N/A</v>
      </c>
      <c r="O316" s="62" t="str">
        <f>VLOOKUP(C316,'SALARY DETALES'!$B$2:$D$475,3,0)</f>
        <v>HELPER</v>
      </c>
      <c r="P316" t="s">
        <v>1262</v>
      </c>
      <c r="Q316" t="s">
        <v>1263</v>
      </c>
    </row>
    <row r="317" spans="2:20" x14ac:dyDescent="0.3">
      <c r="B317" s="55">
        <v>315</v>
      </c>
      <c r="C317" s="55">
        <v>80534</v>
      </c>
      <c r="D317" t="s">
        <v>741</v>
      </c>
      <c r="E317" t="s">
        <v>463</v>
      </c>
      <c r="F317" t="s">
        <v>1264</v>
      </c>
      <c r="G317" s="55">
        <v>0</v>
      </c>
      <c r="H317" s="55" t="s">
        <v>1816</v>
      </c>
      <c r="J317" s="57">
        <f>VLOOKUP(C317,'SALARY DETALES'!$B$2:$S$475,18,0)</f>
        <v>16000</v>
      </c>
      <c r="L317" s="60" t="e">
        <f>VLOOKUP(C317,'SALARY DETALES'!B316:C789,2,0)</f>
        <v>#N/A</v>
      </c>
      <c r="O317" s="62" t="str">
        <f>VLOOKUP(C317,'SALARY DETALES'!$B$2:$D$475,3,0)</f>
        <v>RUNNER</v>
      </c>
      <c r="P317" t="s">
        <v>1265</v>
      </c>
      <c r="Q317" t="s">
        <v>1266</v>
      </c>
    </row>
    <row r="318" spans="2:20" x14ac:dyDescent="0.3">
      <c r="B318" s="55">
        <v>316</v>
      </c>
      <c r="C318" s="55">
        <v>80537</v>
      </c>
      <c r="D318" t="s">
        <v>741</v>
      </c>
      <c r="E318" t="s">
        <v>126</v>
      </c>
      <c r="F318" t="s">
        <v>1264</v>
      </c>
      <c r="G318" s="55">
        <v>0</v>
      </c>
      <c r="H318" s="55" t="s">
        <v>1816</v>
      </c>
      <c r="J318" s="57">
        <f>VLOOKUP(C318,'SALARY DETALES'!$B$2:$S$475,18,0)</f>
        <v>16000</v>
      </c>
      <c r="L318" s="60" t="e">
        <f>VLOOKUP(C318,'SALARY DETALES'!B317:C790,2,0)</f>
        <v>#N/A</v>
      </c>
      <c r="O318" s="62" t="str">
        <f>VLOOKUP(C318,'SALARY DETALES'!$B$2:$D$475,3,0)</f>
        <v>HELPER</v>
      </c>
      <c r="P318" t="s">
        <v>1267</v>
      </c>
      <c r="Q318" t="s">
        <v>1268</v>
      </c>
    </row>
    <row r="319" spans="2:20" x14ac:dyDescent="0.3">
      <c r="B319" s="55">
        <v>317</v>
      </c>
      <c r="C319" s="55">
        <v>80539</v>
      </c>
      <c r="D319" t="s">
        <v>741</v>
      </c>
      <c r="E319" t="s">
        <v>386</v>
      </c>
      <c r="F319" t="s">
        <v>1269</v>
      </c>
      <c r="G319" s="55">
        <v>0</v>
      </c>
      <c r="H319" s="55" t="s">
        <v>1816</v>
      </c>
      <c r="J319" s="57">
        <f>VLOOKUP(C319,'SALARY DETALES'!$B$2:$S$475,18,0)</f>
        <v>16000</v>
      </c>
      <c r="L319" s="60" t="e">
        <f>VLOOKUP(C319,'SALARY DETALES'!B318:C791,2,0)</f>
        <v>#N/A</v>
      </c>
      <c r="O319" s="62" t="str">
        <f>VLOOKUP(C319,'SALARY DETALES'!$B$2:$D$475,3,0)</f>
        <v>RUNNER</v>
      </c>
      <c r="P319" t="s">
        <v>1270</v>
      </c>
      <c r="Q319" t="s">
        <v>1271</v>
      </c>
    </row>
    <row r="320" spans="2:20" x14ac:dyDescent="0.3">
      <c r="B320" s="55">
        <v>318</v>
      </c>
      <c r="C320" s="55">
        <v>80541</v>
      </c>
      <c r="D320" t="s">
        <v>741</v>
      </c>
      <c r="E320" t="s">
        <v>1749</v>
      </c>
      <c r="F320" t="s">
        <v>1269</v>
      </c>
      <c r="G320" s="55">
        <v>0</v>
      </c>
      <c r="H320" s="55" t="s">
        <v>1816</v>
      </c>
      <c r="J320" s="57">
        <f>VLOOKUP(C320,'SALARY DETALES'!$B$2:$S$475,18,0)</f>
        <v>16000</v>
      </c>
      <c r="L320" s="60" t="str">
        <f>VLOOKUP(C320,'SALARY DETALES'!B319:C792,2,0)</f>
        <v>Section E</v>
      </c>
      <c r="O320" s="62" t="str">
        <f>VLOOKUP(C320,'SALARY DETALES'!$B$2:$D$475,3,0)</f>
        <v>BW/E</v>
      </c>
      <c r="P320" t="s">
        <v>1272</v>
      </c>
      <c r="Q320" t="s">
        <v>1273</v>
      </c>
    </row>
    <row r="321" spans="2:20" x14ac:dyDescent="0.3">
      <c r="B321" s="55">
        <v>319</v>
      </c>
      <c r="C321" s="55">
        <v>80542</v>
      </c>
      <c r="D321" t="s">
        <v>741</v>
      </c>
      <c r="E321" t="s">
        <v>387</v>
      </c>
      <c r="F321" t="s">
        <v>1274</v>
      </c>
      <c r="G321" s="55">
        <v>420</v>
      </c>
      <c r="H321" s="55" t="s">
        <v>1817</v>
      </c>
      <c r="J321" s="57">
        <f>VLOOKUP(C321,'SALARY DETALES'!$B$2:$S$475,18,0)</f>
        <v>25000</v>
      </c>
      <c r="L321" s="60" t="e">
        <f>VLOOKUP(C321,'SALARY DETALES'!B320:C793,2,0)</f>
        <v>#N/A</v>
      </c>
      <c r="O321" s="62" t="str">
        <f>VLOOKUP(C321,'SALARY DETALES'!$B$2:$D$475,3,0)</f>
        <v>HELPER</v>
      </c>
      <c r="P321" t="s">
        <v>1275</v>
      </c>
      <c r="Q321" t="s">
        <v>1276</v>
      </c>
    </row>
    <row r="322" spans="2:20" x14ac:dyDescent="0.3">
      <c r="B322" s="55">
        <v>320</v>
      </c>
      <c r="C322" s="55">
        <v>80543</v>
      </c>
      <c r="D322" t="s">
        <v>741</v>
      </c>
      <c r="E322" t="s">
        <v>516</v>
      </c>
      <c r="F322" t="s">
        <v>1277</v>
      </c>
      <c r="G322" s="55">
        <v>0</v>
      </c>
      <c r="H322" s="55" t="s">
        <v>1816</v>
      </c>
      <c r="J322" s="57">
        <f>VLOOKUP(C322,'SALARY DETALES'!$B$2:$S$475,18,0)</f>
        <v>16000</v>
      </c>
      <c r="L322" s="60" t="e">
        <f>VLOOKUP(C322,'SALARY DETALES'!B321:C794,2,0)</f>
        <v>#N/A</v>
      </c>
      <c r="O322" s="62" t="str">
        <f>VLOOKUP(C322,'SALARY DETALES'!$B$2:$D$475,3,0)</f>
        <v>BW/A</v>
      </c>
      <c r="P322" t="s">
        <v>1278</v>
      </c>
      <c r="Q322" t="s">
        <v>1279</v>
      </c>
    </row>
    <row r="323" spans="2:20" x14ac:dyDescent="0.3">
      <c r="B323" s="55">
        <v>321</v>
      </c>
      <c r="C323" s="55">
        <v>80544</v>
      </c>
      <c r="D323" t="s">
        <v>741</v>
      </c>
      <c r="E323" t="s">
        <v>517</v>
      </c>
      <c r="F323" t="s">
        <v>907</v>
      </c>
      <c r="G323" s="55">
        <v>0</v>
      </c>
      <c r="H323" s="55" t="s">
        <v>1816</v>
      </c>
      <c r="J323" s="57">
        <f>VLOOKUP(C323,'SALARY DETALES'!$B$2:$S$475,18,0)</f>
        <v>22000</v>
      </c>
      <c r="L323" s="60" t="e">
        <f>VLOOKUP(C323,'SALARY DETALES'!B322:C795,2,0)</f>
        <v>#N/A</v>
      </c>
      <c r="O323" s="62" t="str">
        <f>VLOOKUP(C323,'SALARY DETALES'!$B$2:$D$475,3,0)</f>
        <v>B/W</v>
      </c>
      <c r="P323" t="s">
        <v>1280</v>
      </c>
      <c r="Q323" t="s">
        <v>1281</v>
      </c>
      <c r="T323" t="s">
        <v>1133</v>
      </c>
    </row>
    <row r="324" spans="2:20" x14ac:dyDescent="0.3">
      <c r="B324" s="55">
        <v>322</v>
      </c>
      <c r="C324" s="55">
        <v>80546</v>
      </c>
      <c r="D324" t="s">
        <v>741</v>
      </c>
      <c r="E324" t="s">
        <v>438</v>
      </c>
      <c r="F324" t="s">
        <v>1277</v>
      </c>
      <c r="G324" s="55">
        <v>0</v>
      </c>
      <c r="H324" s="55" t="s">
        <v>1816</v>
      </c>
      <c r="J324" s="57">
        <f>VLOOKUP(C324,'SALARY DETALES'!$B$2:$S$475,18,0)</f>
        <v>16000</v>
      </c>
      <c r="L324" s="60" t="str">
        <f>VLOOKUP(C324,'SALARY DETALES'!B323:C796,2,0)</f>
        <v>Section D #2</v>
      </c>
      <c r="O324" s="62" t="str">
        <f>VLOOKUP(C324,'SALARY DETALES'!$B$2:$D$475,3,0)</f>
        <v>B/W</v>
      </c>
      <c r="P324" t="s">
        <v>1282</v>
      </c>
      <c r="Q324" t="s">
        <v>1283</v>
      </c>
    </row>
    <row r="325" spans="2:20" x14ac:dyDescent="0.3">
      <c r="B325" s="55">
        <v>323</v>
      </c>
      <c r="C325" s="55">
        <v>80547</v>
      </c>
      <c r="D325" t="s">
        <v>741</v>
      </c>
      <c r="E325" t="s">
        <v>518</v>
      </c>
      <c r="F325" t="s">
        <v>907</v>
      </c>
      <c r="G325" s="55">
        <v>0</v>
      </c>
      <c r="H325" s="55" t="s">
        <v>1816</v>
      </c>
      <c r="J325" s="57">
        <f>VLOOKUP(C325,'SALARY DETALES'!$B$2:$S$475,18,0)</f>
        <v>16000</v>
      </c>
      <c r="L325" s="60" t="e">
        <f>VLOOKUP(C325,'SALARY DETALES'!B324:C797,2,0)</f>
        <v>#N/A</v>
      </c>
      <c r="O325" s="62" t="str">
        <f>VLOOKUP(C325,'SALARY DETALES'!$B$2:$D$475,3,0)</f>
        <v>B/W</v>
      </c>
      <c r="P325" t="s">
        <v>1284</v>
      </c>
      <c r="Q325" t="s">
        <v>1285</v>
      </c>
    </row>
    <row r="326" spans="2:20" x14ac:dyDescent="0.3">
      <c r="B326" s="55">
        <v>324</v>
      </c>
      <c r="C326" s="55">
        <v>80548</v>
      </c>
      <c r="D326" t="s">
        <v>741</v>
      </c>
      <c r="E326" t="s">
        <v>590</v>
      </c>
      <c r="F326" t="s">
        <v>907</v>
      </c>
      <c r="G326" s="55">
        <v>0</v>
      </c>
      <c r="H326" s="55" t="s">
        <v>1816</v>
      </c>
      <c r="J326" s="57">
        <f>VLOOKUP(C326,'SALARY DETALES'!$B$2:$S$475,18,0)</f>
        <v>16000</v>
      </c>
      <c r="L326" s="60" t="str">
        <f>VLOOKUP(C326,'SALARY DETALES'!B325:C798,2,0)</f>
        <v>Section D #2</v>
      </c>
      <c r="O326" s="62" t="str">
        <f>VLOOKUP(C326,'SALARY DETALES'!$B$2:$D$475,3,0)</f>
        <v>B/W</v>
      </c>
      <c r="P326" t="s">
        <v>1286</v>
      </c>
      <c r="Q326" t="s">
        <v>1287</v>
      </c>
      <c r="T326" t="s">
        <v>771</v>
      </c>
    </row>
    <row r="327" spans="2:20" x14ac:dyDescent="0.3">
      <c r="B327" s="55">
        <v>325</v>
      </c>
      <c r="C327" s="55">
        <v>80549</v>
      </c>
      <c r="D327" t="s">
        <v>741</v>
      </c>
      <c r="E327" t="s">
        <v>222</v>
      </c>
      <c r="F327" t="s">
        <v>1277</v>
      </c>
      <c r="G327" s="55">
        <v>0</v>
      </c>
      <c r="H327" s="55" t="s">
        <v>1816</v>
      </c>
      <c r="J327" s="57">
        <f>VLOOKUP(C327,'SALARY DETALES'!$B$2:$S$475,18,0)</f>
        <v>16000</v>
      </c>
      <c r="L327" s="60" t="e">
        <f>VLOOKUP(C327,'SALARY DETALES'!B326:C799,2,0)</f>
        <v>#N/A</v>
      </c>
      <c r="O327" s="62" t="str">
        <f>VLOOKUP(C327,'SALARY DETALES'!$B$2:$D$475,3,0)</f>
        <v>B/W</v>
      </c>
      <c r="P327" t="s">
        <v>1288</v>
      </c>
      <c r="Q327" t="s">
        <v>1289</v>
      </c>
    </row>
    <row r="328" spans="2:20" x14ac:dyDescent="0.3">
      <c r="B328" s="55">
        <v>326</v>
      </c>
      <c r="C328" s="55">
        <v>80551</v>
      </c>
      <c r="D328" t="s">
        <v>741</v>
      </c>
      <c r="E328" t="s">
        <v>604</v>
      </c>
      <c r="F328" t="s">
        <v>1290</v>
      </c>
      <c r="G328" s="55">
        <v>0</v>
      </c>
      <c r="H328" s="55" t="s">
        <v>1816</v>
      </c>
      <c r="J328" s="57">
        <f>VLOOKUP(C328,'SALARY DETALES'!$B$2:$S$475,18,0)</f>
        <v>16000</v>
      </c>
      <c r="L328" s="60" t="str">
        <f>VLOOKUP(C328,'SALARY DETALES'!B327:C800,2,0)</f>
        <v>Section E</v>
      </c>
      <c r="O328" s="62" t="str">
        <f>VLOOKUP(C328,'SALARY DETALES'!$B$2:$D$475,3,0)</f>
        <v>B/W</v>
      </c>
      <c r="P328" t="s">
        <v>1291</v>
      </c>
      <c r="Q328" t="s">
        <v>1292</v>
      </c>
      <c r="T328" t="s">
        <v>771</v>
      </c>
    </row>
    <row r="329" spans="2:20" x14ac:dyDescent="0.3">
      <c r="B329" s="55">
        <v>327</v>
      </c>
      <c r="C329" s="55">
        <v>80553</v>
      </c>
      <c r="D329" t="s">
        <v>741</v>
      </c>
      <c r="E329" t="s">
        <v>171</v>
      </c>
      <c r="F329" t="s">
        <v>907</v>
      </c>
      <c r="G329" s="55">
        <v>0</v>
      </c>
      <c r="H329" s="55" t="s">
        <v>1816</v>
      </c>
      <c r="J329" s="57">
        <f>VLOOKUP(C329,'SALARY DETALES'!$B$2:$S$475,18,0)</f>
        <v>25000</v>
      </c>
      <c r="L329" s="60" t="e">
        <f>VLOOKUP(C329,'SALARY DETALES'!B328:C801,2,0)</f>
        <v>#N/A</v>
      </c>
      <c r="O329" s="62" t="str">
        <f>VLOOKUP(C329,'SALARY DETALES'!$B$2:$D$475,3,0)</f>
        <v>HELPER</v>
      </c>
      <c r="P329" t="s">
        <v>1293</v>
      </c>
      <c r="Q329" t="s">
        <v>1294</v>
      </c>
    </row>
    <row r="330" spans="2:20" x14ac:dyDescent="0.3">
      <c r="B330" s="55">
        <v>328</v>
      </c>
      <c r="C330" s="55">
        <v>80555</v>
      </c>
      <c r="D330" t="s">
        <v>741</v>
      </c>
      <c r="E330" t="s">
        <v>198</v>
      </c>
      <c r="F330" t="s">
        <v>1295</v>
      </c>
      <c r="G330" s="55">
        <v>0</v>
      </c>
      <c r="H330" s="55" t="s">
        <v>1816</v>
      </c>
      <c r="J330" s="57">
        <f>VLOOKUP(C330,'SALARY DETALES'!$B$2:$S$475,18,0)</f>
        <v>25000</v>
      </c>
      <c r="L330" s="60" t="e">
        <f>VLOOKUP(C330,'SALARY DETALES'!B329:C802,2,0)</f>
        <v>#N/A</v>
      </c>
      <c r="O330" s="62" t="str">
        <f>VLOOKUP(C330,'SALARY DETALES'!$B$2:$D$475,3,0)</f>
        <v>Helper</v>
      </c>
      <c r="P330" t="s">
        <v>1296</v>
      </c>
      <c r="Q330" t="s">
        <v>1297</v>
      </c>
    </row>
    <row r="331" spans="2:20" x14ac:dyDescent="0.3">
      <c r="B331" s="55">
        <v>329</v>
      </c>
      <c r="C331" s="55">
        <v>80556</v>
      </c>
      <c r="D331" t="s">
        <v>741</v>
      </c>
      <c r="E331" t="s">
        <v>355</v>
      </c>
      <c r="F331" t="s">
        <v>1298</v>
      </c>
      <c r="G331" s="55">
        <v>0</v>
      </c>
      <c r="H331" s="55" t="s">
        <v>1816</v>
      </c>
      <c r="J331" s="57">
        <f>VLOOKUP(C331,'SALARY DETALES'!$B$2:$S$475,18,0)</f>
        <v>25000</v>
      </c>
      <c r="L331" s="60" t="e">
        <f>VLOOKUP(C331,'SALARY DETALES'!B330:C803,2,0)</f>
        <v>#N/A</v>
      </c>
      <c r="O331" s="62" t="str">
        <f>VLOOKUP(C331,'SALARY DETALES'!$B$2:$D$475,3,0)</f>
        <v>HELPER</v>
      </c>
      <c r="P331" t="s">
        <v>1299</v>
      </c>
      <c r="Q331" t="s">
        <v>1300</v>
      </c>
    </row>
    <row r="332" spans="2:20" x14ac:dyDescent="0.3">
      <c r="B332" s="55">
        <v>330</v>
      </c>
      <c r="C332" s="55">
        <v>80558</v>
      </c>
      <c r="D332" t="s">
        <v>741</v>
      </c>
      <c r="E332" t="s">
        <v>632</v>
      </c>
      <c r="F332" t="s">
        <v>1301</v>
      </c>
      <c r="G332" s="55">
        <v>0</v>
      </c>
      <c r="H332" s="55" t="s">
        <v>1816</v>
      </c>
      <c r="J332" s="57">
        <f>VLOOKUP(C332,'SALARY DETALES'!$B$2:$S$475,18,0)</f>
        <v>16000</v>
      </c>
      <c r="L332" s="60" t="str">
        <f>VLOOKUP(C332,'SALARY DETALES'!B331:C804,2,0)</f>
        <v>Section F</v>
      </c>
      <c r="O332" s="62" t="str">
        <f>VLOOKUP(C332,'SALARY DETALES'!$B$2:$D$475,3,0)</f>
        <v>B/W</v>
      </c>
      <c r="P332" t="s">
        <v>1302</v>
      </c>
      <c r="Q332" t="s">
        <v>1303</v>
      </c>
    </row>
    <row r="333" spans="2:20" x14ac:dyDescent="0.3">
      <c r="B333" s="55">
        <v>331</v>
      </c>
      <c r="C333" s="55">
        <v>80559</v>
      </c>
      <c r="D333" t="s">
        <v>741</v>
      </c>
      <c r="E333" t="s">
        <v>544</v>
      </c>
      <c r="F333" t="s">
        <v>1304</v>
      </c>
      <c r="G333" s="55">
        <v>0</v>
      </c>
      <c r="H333" s="55" t="s">
        <v>1816</v>
      </c>
      <c r="J333" s="57">
        <f>VLOOKUP(C333,'SALARY DETALES'!$B$2:$S$475,18,0)</f>
        <v>16000</v>
      </c>
      <c r="L333" s="60" t="str">
        <f>VLOOKUP(C333,'SALARY DETALES'!B332:C805,2,0)</f>
        <v>Section B #1</v>
      </c>
      <c r="O333" s="62" t="str">
        <f>VLOOKUP(C333,'SALARY DETALES'!$B$2:$D$475,3,0)</f>
        <v>B/W</v>
      </c>
      <c r="P333" t="s">
        <v>1280</v>
      </c>
      <c r="Q333" t="s">
        <v>1305</v>
      </c>
    </row>
    <row r="334" spans="2:20" x14ac:dyDescent="0.3">
      <c r="B334" s="55">
        <v>332</v>
      </c>
      <c r="C334" s="55">
        <v>80560</v>
      </c>
      <c r="D334" t="s">
        <v>741</v>
      </c>
      <c r="E334" t="s">
        <v>545</v>
      </c>
      <c r="F334" t="s">
        <v>1298</v>
      </c>
      <c r="G334" s="55">
        <v>0</v>
      </c>
      <c r="H334" s="55" t="s">
        <v>1816</v>
      </c>
      <c r="J334" s="57">
        <f>VLOOKUP(C334,'SALARY DETALES'!$B$2:$S$475,18,0)</f>
        <v>16000</v>
      </c>
      <c r="L334" s="60" t="str">
        <f>VLOOKUP(C334,'SALARY DETALES'!B333:C806,2,0)</f>
        <v>Section B #1</v>
      </c>
      <c r="O334" s="62" t="str">
        <f>VLOOKUP(C334,'SALARY DETALES'!$B$2:$D$475,3,0)</f>
        <v>B/W</v>
      </c>
      <c r="P334" t="s">
        <v>1306</v>
      </c>
      <c r="Q334" t="s">
        <v>1307</v>
      </c>
    </row>
    <row r="335" spans="2:20" x14ac:dyDescent="0.3">
      <c r="B335" s="55">
        <v>333</v>
      </c>
      <c r="C335" s="55">
        <v>80561</v>
      </c>
      <c r="D335" t="s">
        <v>741</v>
      </c>
      <c r="E335" t="s">
        <v>546</v>
      </c>
      <c r="F335" t="s">
        <v>1308</v>
      </c>
      <c r="G335" s="55">
        <v>0</v>
      </c>
      <c r="H335" s="55" t="s">
        <v>1816</v>
      </c>
      <c r="J335" s="57">
        <f>VLOOKUP(C335,'SALARY DETALES'!$B$2:$S$475,18,0)</f>
        <v>22000</v>
      </c>
      <c r="L335" s="60" t="str">
        <f>VLOOKUP(C335,'SALARY DETALES'!B334:C807,2,0)</f>
        <v>Section B #1</v>
      </c>
      <c r="O335" s="62" t="str">
        <f>VLOOKUP(C335,'SALARY DETALES'!$B$2:$D$475,3,0)</f>
        <v>O/T</v>
      </c>
      <c r="P335" t="s">
        <v>1309</v>
      </c>
      <c r="Q335" t="s">
        <v>1310</v>
      </c>
    </row>
    <row r="336" spans="2:20" x14ac:dyDescent="0.3">
      <c r="B336" s="55">
        <v>334</v>
      </c>
      <c r="C336" s="55">
        <v>80562</v>
      </c>
      <c r="D336" t="s">
        <v>741</v>
      </c>
      <c r="E336" t="s">
        <v>531</v>
      </c>
      <c r="F336" t="s">
        <v>1298</v>
      </c>
      <c r="G336" s="55">
        <v>0</v>
      </c>
      <c r="H336" s="55" t="s">
        <v>1816</v>
      </c>
      <c r="J336" s="57">
        <f>VLOOKUP(C336,'SALARY DETALES'!$B$2:$S$475,18,0)</f>
        <v>16000</v>
      </c>
      <c r="L336" s="60" t="e">
        <f>VLOOKUP(C336,'SALARY DETALES'!B335:C808,2,0)</f>
        <v>#N/A</v>
      </c>
      <c r="O336" s="62" t="str">
        <f>VLOOKUP(C336,'SALARY DETALES'!$B$2:$D$475,3,0)</f>
        <v>B/W</v>
      </c>
      <c r="P336" t="s">
        <v>1311</v>
      </c>
      <c r="Q336" t="s">
        <v>1312</v>
      </c>
    </row>
    <row r="337" spans="2:20" x14ac:dyDescent="0.3">
      <c r="B337" s="55">
        <v>335</v>
      </c>
      <c r="C337" s="55">
        <v>80564</v>
      </c>
      <c r="D337" t="s">
        <v>741</v>
      </c>
      <c r="E337" t="s">
        <v>647</v>
      </c>
      <c r="F337" t="s">
        <v>1301</v>
      </c>
      <c r="G337" s="55">
        <v>0</v>
      </c>
      <c r="H337" s="55" t="s">
        <v>1816</v>
      </c>
      <c r="J337" s="57">
        <f>VLOOKUP(C337,'SALARY DETALES'!$B$2:$S$475,18,0)</f>
        <v>16000</v>
      </c>
      <c r="L337" s="60" t="str">
        <f>VLOOKUP(C337,'SALARY DETALES'!B336:C809,2,0)</f>
        <v>Section F2</v>
      </c>
      <c r="O337" s="62" t="str">
        <f>VLOOKUP(C337,'SALARY DETALES'!$B$2:$D$475,3,0)</f>
        <v>B/W</v>
      </c>
      <c r="P337" t="s">
        <v>1313</v>
      </c>
      <c r="Q337" t="s">
        <v>1314</v>
      </c>
    </row>
    <row r="338" spans="2:20" x14ac:dyDescent="0.3">
      <c r="B338" s="55">
        <v>336</v>
      </c>
      <c r="C338" s="55">
        <v>80566</v>
      </c>
      <c r="D338" t="s">
        <v>741</v>
      </c>
      <c r="E338" t="s">
        <v>605</v>
      </c>
      <c r="F338" t="s">
        <v>1315</v>
      </c>
      <c r="G338" s="55">
        <v>0</v>
      </c>
      <c r="H338" s="55" t="s">
        <v>1816</v>
      </c>
      <c r="J338" s="57">
        <f>VLOOKUP(C338,'SALARY DETALES'!$B$2:$S$475,18,0)</f>
        <v>16000</v>
      </c>
      <c r="L338" s="60" t="str">
        <f>VLOOKUP(C338,'SALARY DETALES'!B337:C810,2,0)</f>
        <v>Section E</v>
      </c>
      <c r="O338" s="62" t="str">
        <f>VLOOKUP(C338,'SALARY DETALES'!$B$2:$D$475,3,0)</f>
        <v>B/W</v>
      </c>
      <c r="Q338" t="s">
        <v>1316</v>
      </c>
    </row>
    <row r="339" spans="2:20" x14ac:dyDescent="0.3">
      <c r="B339" s="55">
        <v>337</v>
      </c>
      <c r="C339" s="55">
        <v>80568</v>
      </c>
      <c r="D339" t="s">
        <v>741</v>
      </c>
      <c r="E339" t="s">
        <v>503</v>
      </c>
      <c r="F339" t="s">
        <v>1317</v>
      </c>
      <c r="G339" s="55">
        <v>0</v>
      </c>
      <c r="H339" s="55" t="s">
        <v>1816</v>
      </c>
      <c r="J339" s="57">
        <f>VLOOKUP(C339,'SALARY DETALES'!$B$2:$S$475,18,0)</f>
        <v>16000</v>
      </c>
      <c r="L339" s="60" t="str">
        <f>VLOOKUP(C339,'SALARY DETALES'!B338:C811,2,0)</f>
        <v>Section E#2</v>
      </c>
      <c r="O339" s="62" t="str">
        <f>VLOOKUP(C339,'SALARY DETALES'!$B$2:$D$475,3,0)</f>
        <v>BW/E</v>
      </c>
      <c r="P339" t="s">
        <v>1318</v>
      </c>
      <c r="Q339" t="s">
        <v>1319</v>
      </c>
    </row>
    <row r="340" spans="2:20" x14ac:dyDescent="0.3">
      <c r="B340" s="55">
        <v>338</v>
      </c>
      <c r="C340" s="55">
        <v>80569</v>
      </c>
      <c r="D340" t="s">
        <v>741</v>
      </c>
      <c r="E340" t="s">
        <v>620</v>
      </c>
      <c r="F340" t="s">
        <v>1315</v>
      </c>
      <c r="G340" s="55">
        <v>0</v>
      </c>
      <c r="H340" s="55" t="s">
        <v>1816</v>
      </c>
      <c r="J340" s="57">
        <f>VLOOKUP(C340,'SALARY DETALES'!$B$2:$S$475,18,0)</f>
        <v>16000</v>
      </c>
      <c r="L340" s="60" t="str">
        <f>VLOOKUP(C340,'SALARY DETALES'!B339:C812,2,0)</f>
        <v>Section E#2</v>
      </c>
      <c r="O340" s="62" t="str">
        <f>VLOOKUP(C340,'SALARY DETALES'!$B$2:$D$475,3,0)</f>
        <v>BW/E</v>
      </c>
      <c r="P340" t="s">
        <v>1320</v>
      </c>
      <c r="Q340" t="s">
        <v>1321</v>
      </c>
    </row>
    <row r="341" spans="2:20" x14ac:dyDescent="0.3">
      <c r="B341" s="55">
        <v>339</v>
      </c>
      <c r="C341" s="55">
        <v>80570</v>
      </c>
      <c r="D341" t="s">
        <v>741</v>
      </c>
      <c r="E341" t="s">
        <v>427</v>
      </c>
      <c r="F341" t="s">
        <v>1322</v>
      </c>
      <c r="G341" s="55">
        <v>20</v>
      </c>
      <c r="H341" s="55" t="s">
        <v>1817</v>
      </c>
      <c r="J341" s="57">
        <f>VLOOKUP(C341,'SALARY DETALES'!$B$2:$S$475,18,0)</f>
        <v>25000</v>
      </c>
      <c r="L341" s="60" t="e">
        <f>VLOOKUP(C341,'SALARY DETALES'!B340:C813,2,0)</f>
        <v>#N/A</v>
      </c>
      <c r="O341" s="62" t="str">
        <f>VLOOKUP(C341,'SALARY DETALES'!$B$2:$D$475,3,0)</f>
        <v>LADY GUARD</v>
      </c>
      <c r="P341" t="s">
        <v>1323</v>
      </c>
      <c r="Q341" t="s">
        <v>1324</v>
      </c>
    </row>
    <row r="342" spans="2:20" x14ac:dyDescent="0.3">
      <c r="B342" s="55">
        <v>340</v>
      </c>
      <c r="C342" s="55">
        <v>80571</v>
      </c>
      <c r="D342" t="s">
        <v>741</v>
      </c>
      <c r="E342" t="s">
        <v>405</v>
      </c>
      <c r="F342" t="s">
        <v>1317</v>
      </c>
      <c r="G342" s="55">
        <v>0</v>
      </c>
      <c r="H342" s="55" t="s">
        <v>1816</v>
      </c>
      <c r="J342" s="57">
        <f>VLOOKUP(C342,'SALARY DETALES'!$B$2:$S$475,18,0)</f>
        <v>20000</v>
      </c>
      <c r="L342" s="60" t="e">
        <f>VLOOKUP(C342,'SALARY DETALES'!B341:C814,2,0)</f>
        <v>#N/A</v>
      </c>
      <c r="O342" s="62" t="str">
        <f>VLOOKUP(C342,'SALARY DETALES'!$B$2:$D$475,3,0)</f>
        <v>COLD BAR HELPER</v>
      </c>
      <c r="P342" t="s">
        <v>1325</v>
      </c>
      <c r="Q342" t="s">
        <v>1326</v>
      </c>
    </row>
    <row r="343" spans="2:20" x14ac:dyDescent="0.3">
      <c r="B343" s="55">
        <v>341</v>
      </c>
      <c r="C343" s="55">
        <v>12008</v>
      </c>
      <c r="D343" t="s">
        <v>741</v>
      </c>
      <c r="E343" t="s">
        <v>272</v>
      </c>
      <c r="F343" t="s">
        <v>878</v>
      </c>
      <c r="G343" s="55">
        <v>0</v>
      </c>
      <c r="H343" s="55" t="s">
        <v>1816</v>
      </c>
      <c r="J343" s="57">
        <f>VLOOKUP(C343,'SALARY DETALES'!$B$2:$S$475,18,0)</f>
        <v>34000</v>
      </c>
      <c r="L343" s="60" t="e">
        <f>VLOOKUP(C343,'SALARY DETALES'!B342:C815,2,0)</f>
        <v>#N/A</v>
      </c>
      <c r="O343" s="62" t="str">
        <f>VLOOKUP(C343,'SALARY DETALES'!$B$2:$D$475,3,0)</f>
        <v>INCHARGE</v>
      </c>
      <c r="P343" t="s">
        <v>1327</v>
      </c>
      <c r="Q343" t="s">
        <v>1328</v>
      </c>
    </row>
    <row r="344" spans="2:20" x14ac:dyDescent="0.3">
      <c r="B344" s="55">
        <v>342</v>
      </c>
      <c r="C344" s="55">
        <v>33083</v>
      </c>
      <c r="D344" t="s">
        <v>741</v>
      </c>
      <c r="E344" t="s">
        <v>591</v>
      </c>
      <c r="F344" t="s">
        <v>1315</v>
      </c>
      <c r="G344" s="55">
        <v>0</v>
      </c>
      <c r="H344" s="55" t="s">
        <v>1816</v>
      </c>
      <c r="J344" s="57">
        <f>VLOOKUP(C344,'SALARY DETALES'!$B$2:$S$475,18,0)</f>
        <v>16000</v>
      </c>
      <c r="L344" s="60" t="str">
        <f>VLOOKUP(C344,'SALARY DETALES'!B343:C816,2,0)</f>
        <v>Section D #2</v>
      </c>
      <c r="O344" s="62" t="str">
        <f>VLOOKUP(C344,'SALARY DETALES'!$B$2:$D$475,3,0)</f>
        <v>B/W</v>
      </c>
      <c r="Q344" t="s">
        <v>1329</v>
      </c>
    </row>
    <row r="345" spans="2:20" x14ac:dyDescent="0.3">
      <c r="B345" s="55">
        <v>343</v>
      </c>
      <c r="C345" s="55">
        <v>80575</v>
      </c>
      <c r="D345" t="s">
        <v>741</v>
      </c>
      <c r="E345" t="s">
        <v>547</v>
      </c>
      <c r="F345" t="s">
        <v>878</v>
      </c>
      <c r="G345" s="55">
        <v>0</v>
      </c>
      <c r="H345" s="55" t="s">
        <v>1816</v>
      </c>
      <c r="J345" s="57">
        <f>VLOOKUP(C345,'SALARY DETALES'!$B$2:$S$475,18,0)</f>
        <v>16000</v>
      </c>
      <c r="L345" s="60" t="e">
        <f>VLOOKUP(C345,'SALARY DETALES'!B344:C817,2,0)</f>
        <v>#N/A</v>
      </c>
      <c r="O345" s="62" t="str">
        <f>VLOOKUP(C345,'SALARY DETALES'!$B$2:$D$475,3,0)</f>
        <v>BW/B</v>
      </c>
      <c r="P345" t="s">
        <v>1330</v>
      </c>
      <c r="Q345" t="s">
        <v>1331</v>
      </c>
    </row>
    <row r="346" spans="2:20" x14ac:dyDescent="0.3">
      <c r="B346" s="55">
        <v>344</v>
      </c>
      <c r="C346" s="55">
        <v>80748</v>
      </c>
      <c r="D346" t="s">
        <v>741</v>
      </c>
      <c r="E346" t="s">
        <v>273</v>
      </c>
      <c r="F346" t="s">
        <v>1332</v>
      </c>
      <c r="G346" s="55">
        <v>0</v>
      </c>
      <c r="H346" s="55" t="s">
        <v>1816</v>
      </c>
      <c r="J346" s="57">
        <f>VLOOKUP(C346,'SALARY DETALES'!$B$2:$S$475,18,0)</f>
        <v>16000</v>
      </c>
      <c r="L346" s="60" t="e">
        <f>VLOOKUP(C346,'SALARY DETALES'!B345:C818,2,0)</f>
        <v>#N/A</v>
      </c>
      <c r="O346" s="62" t="str">
        <f>VLOOKUP(C346,'SALARY DETALES'!$B$2:$D$475,3,0)</f>
        <v>WIPPING</v>
      </c>
      <c r="P346" t="s">
        <v>1333</v>
      </c>
      <c r="Q346" t="s">
        <v>1334</v>
      </c>
    </row>
    <row r="347" spans="2:20" x14ac:dyDescent="0.3">
      <c r="B347" s="55">
        <v>345</v>
      </c>
      <c r="C347" s="55">
        <v>80578</v>
      </c>
      <c r="D347" t="s">
        <v>741</v>
      </c>
      <c r="E347" t="s">
        <v>506</v>
      </c>
      <c r="F347" t="s">
        <v>1335</v>
      </c>
      <c r="G347" s="55">
        <v>0</v>
      </c>
      <c r="H347" s="55" t="s">
        <v>1816</v>
      </c>
      <c r="J347" s="57">
        <f>VLOOKUP(C347,'SALARY DETALES'!$B$2:$S$475,18,0)</f>
        <v>16000</v>
      </c>
      <c r="L347" s="60" t="e">
        <f>VLOOKUP(C347,'SALARY DETALES'!B346:C819,2,0)</f>
        <v>#N/A</v>
      </c>
      <c r="O347" s="62" t="str">
        <f>VLOOKUP(C347,'SALARY DETALES'!$B$2:$D$475,3,0)</f>
        <v>BW/A</v>
      </c>
      <c r="P347" t="s">
        <v>1336</v>
      </c>
      <c r="Q347" t="s">
        <v>1337</v>
      </c>
    </row>
    <row r="348" spans="2:20" x14ac:dyDescent="0.3">
      <c r="B348" s="55">
        <v>346</v>
      </c>
      <c r="C348" s="55">
        <v>80581</v>
      </c>
      <c r="D348" t="s">
        <v>741</v>
      </c>
      <c r="E348" t="s">
        <v>552</v>
      </c>
      <c r="F348" t="s">
        <v>1301</v>
      </c>
      <c r="G348" s="55">
        <v>0</v>
      </c>
      <c r="H348" s="55" t="s">
        <v>1816</v>
      </c>
      <c r="J348" s="57">
        <f>VLOOKUP(C348,'SALARY DETALES'!$B$2:$S$475,18,0)</f>
        <v>30000</v>
      </c>
      <c r="L348" s="60" t="e">
        <f>VLOOKUP(C348,'SALARY DETALES'!B347:C820,2,0)</f>
        <v>#N/A</v>
      </c>
      <c r="O348" s="62" t="str">
        <f>VLOOKUP(C348,'SALARY DETALES'!$B$2:$D$475,3,0)</f>
        <v>O/T</v>
      </c>
      <c r="P348" t="s">
        <v>1338</v>
      </c>
      <c r="Q348" t="s">
        <v>1339</v>
      </c>
    </row>
    <row r="349" spans="2:20" hidden="1" x14ac:dyDescent="0.3">
      <c r="B349" s="55">
        <v>347</v>
      </c>
      <c r="C349" s="55">
        <v>80583</v>
      </c>
      <c r="D349" t="s">
        <v>741</v>
      </c>
      <c r="E349" t="s">
        <v>1750</v>
      </c>
      <c r="F349" t="s">
        <v>1340</v>
      </c>
      <c r="G349" s="55">
        <v>60</v>
      </c>
      <c r="H349" s="55" t="s">
        <v>1817</v>
      </c>
      <c r="J349" s="57" t="e">
        <f>VLOOKUP(C349,'SALARY DETALES'!$B$2:$S$475,18,0)</f>
        <v>#N/A</v>
      </c>
      <c r="L349" s="60" t="e">
        <f>VLOOKUP(C349,'SALARY DETALES'!B348:C821,2,0)</f>
        <v>#N/A</v>
      </c>
      <c r="O349" s="62" t="e">
        <f>VLOOKUP(C349,'SALARY DETALES'!$B$2:$D$475,3,0)</f>
        <v>#N/A</v>
      </c>
      <c r="P349" t="s">
        <v>1341</v>
      </c>
      <c r="Q349" t="s">
        <v>1342</v>
      </c>
    </row>
    <row r="350" spans="2:20" x14ac:dyDescent="0.3">
      <c r="B350" s="55">
        <v>348</v>
      </c>
      <c r="C350" s="55">
        <v>80588</v>
      </c>
      <c r="D350" t="s">
        <v>741</v>
      </c>
      <c r="E350" t="s">
        <v>154</v>
      </c>
      <c r="F350" t="s">
        <v>1343</v>
      </c>
      <c r="G350" s="55">
        <v>0</v>
      </c>
      <c r="H350" s="55" t="s">
        <v>1816</v>
      </c>
      <c r="J350" s="57">
        <f>VLOOKUP(C350,'SALARY DETALES'!$B$2:$S$475,18,0)</f>
        <v>24000</v>
      </c>
      <c r="L350" s="60" t="e">
        <f>VLOOKUP(C350,'SALARY DETALES'!B349:C822,2,0)</f>
        <v>#N/A</v>
      </c>
      <c r="O350" s="62" t="str">
        <f>VLOOKUP(C350,'SALARY DETALES'!$B$2:$D$475,3,0)</f>
        <v>CASHIER</v>
      </c>
      <c r="P350" t="s">
        <v>1344</v>
      </c>
      <c r="Q350" t="s">
        <v>1345</v>
      </c>
    </row>
    <row r="351" spans="2:20" x14ac:dyDescent="0.3">
      <c r="B351" s="55">
        <v>349</v>
      </c>
      <c r="C351" s="55">
        <v>80589</v>
      </c>
      <c r="D351" t="s">
        <v>741</v>
      </c>
      <c r="E351" t="s">
        <v>389</v>
      </c>
      <c r="F351" t="s">
        <v>1346</v>
      </c>
      <c r="G351" s="55">
        <v>420</v>
      </c>
      <c r="H351" s="55" t="s">
        <v>1817</v>
      </c>
      <c r="J351" s="57">
        <f>VLOOKUP(C351,'SALARY DETALES'!$B$2:$S$475,18,0)</f>
        <v>50000</v>
      </c>
      <c r="L351" s="60" t="e">
        <f>VLOOKUP(C351,'SALARY DETALES'!B350:C823,2,0)</f>
        <v>#N/A</v>
      </c>
      <c r="O351" s="62" t="str">
        <f>VLOOKUP(C351,'SALARY DETALES'!$B$2:$D$475,3,0)</f>
        <v>TECHNICIAN</v>
      </c>
      <c r="P351" t="s">
        <v>1347</v>
      </c>
      <c r="Q351" t="s">
        <v>1348</v>
      </c>
    </row>
    <row r="352" spans="2:20" x14ac:dyDescent="0.3">
      <c r="B352" s="55">
        <v>350</v>
      </c>
      <c r="C352" s="55">
        <v>80591</v>
      </c>
      <c r="D352" t="s">
        <v>741</v>
      </c>
      <c r="E352" t="s">
        <v>128</v>
      </c>
      <c r="F352" t="s">
        <v>1349</v>
      </c>
      <c r="G352" s="55">
        <v>0</v>
      </c>
      <c r="H352" s="55" t="s">
        <v>1816</v>
      </c>
      <c r="J352" s="57">
        <f>VLOOKUP(C352,'SALARY DETALES'!$B$2:$S$475,18,0)</f>
        <v>25000</v>
      </c>
      <c r="L352" s="60" t="e">
        <f>VLOOKUP(C352,'SALARY DETALES'!B351:C824,2,0)</f>
        <v>#N/A</v>
      </c>
      <c r="O352" s="62" t="str">
        <f>VLOOKUP(C352,'SALARY DETALES'!$B$2:$D$475,3,0)</f>
        <v>bbq helper</v>
      </c>
      <c r="P352" t="s">
        <v>1350</v>
      </c>
      <c r="Q352" t="s">
        <v>1351</v>
      </c>
      <c r="T352" t="s">
        <v>1352</v>
      </c>
    </row>
    <row r="353" spans="2:18" x14ac:dyDescent="0.3">
      <c r="B353" s="55">
        <v>351</v>
      </c>
      <c r="C353" s="55">
        <v>80592</v>
      </c>
      <c r="D353" t="s">
        <v>741</v>
      </c>
      <c r="E353" t="s">
        <v>499</v>
      </c>
      <c r="F353" t="s">
        <v>1353</v>
      </c>
      <c r="G353" s="55">
        <v>0</v>
      </c>
      <c r="H353" s="55" t="s">
        <v>1816</v>
      </c>
      <c r="J353" s="57">
        <f>VLOOKUP(C353,'SALARY DETALES'!$B$2:$S$475,18,0)</f>
        <v>16000</v>
      </c>
      <c r="L353" s="60" t="e">
        <f>VLOOKUP(C353,'SALARY DETALES'!B352:C825,2,0)</f>
        <v>#N/A</v>
      </c>
      <c r="O353" s="62" t="str">
        <f>VLOOKUP(C353,'SALARY DETALES'!$B$2:$D$475,3,0)</f>
        <v>B/W</v>
      </c>
      <c r="P353" t="s">
        <v>1354</v>
      </c>
      <c r="Q353" t="s">
        <v>1355</v>
      </c>
    </row>
    <row r="354" spans="2:18" x14ac:dyDescent="0.3">
      <c r="B354" s="55">
        <v>352</v>
      </c>
      <c r="C354" s="55">
        <v>80593</v>
      </c>
      <c r="D354" t="s">
        <v>741</v>
      </c>
      <c r="E354" t="s">
        <v>663</v>
      </c>
      <c r="F354" t="s">
        <v>1346</v>
      </c>
      <c r="G354" s="55">
        <v>300</v>
      </c>
      <c r="H354" s="55" t="s">
        <v>1817</v>
      </c>
      <c r="J354" s="57">
        <f>VLOOKUP(C354,'SALARY DETALES'!$B$2:$S$475,18,0)</f>
        <v>40000</v>
      </c>
      <c r="L354" s="60" t="str">
        <f>VLOOKUP(C354,'SALARY DETALES'!B353:C826,2,0)</f>
        <v>STORE</v>
      </c>
      <c r="O354" s="62" t="str">
        <f>VLOOKUP(C354,'SALARY DETALES'!$B$2:$D$475,3,0)</f>
        <v>Purchase Incharge</v>
      </c>
      <c r="P354" t="s">
        <v>1356</v>
      </c>
      <c r="Q354" t="s">
        <v>1357</v>
      </c>
    </row>
    <row r="355" spans="2:18" x14ac:dyDescent="0.3">
      <c r="B355" s="55">
        <v>353</v>
      </c>
      <c r="C355" s="55">
        <v>80594</v>
      </c>
      <c r="D355" t="s">
        <v>741</v>
      </c>
      <c r="E355" t="s">
        <v>329</v>
      </c>
      <c r="F355" t="s">
        <v>1148</v>
      </c>
      <c r="G355" s="55">
        <v>0</v>
      </c>
      <c r="H355" s="55" t="s">
        <v>1816</v>
      </c>
      <c r="J355" s="57">
        <f>VLOOKUP(C355,'SALARY DETALES'!$B$2:$S$475,18,0)</f>
        <v>30000</v>
      </c>
      <c r="L355" s="60" t="e">
        <f>VLOOKUP(C355,'SALARY DETALES'!B354:C827,2,0)</f>
        <v>#N/A</v>
      </c>
      <c r="O355" s="62" t="str">
        <f>VLOOKUP(C355,'SALARY DETALES'!$B$2:$D$475,3,0)</f>
        <v>IT ASSISTANT</v>
      </c>
    </row>
    <row r="356" spans="2:18" x14ac:dyDescent="0.3">
      <c r="B356" s="55">
        <v>354</v>
      </c>
      <c r="C356" s="55">
        <v>80596</v>
      </c>
      <c r="D356" t="s">
        <v>741</v>
      </c>
      <c r="E356" t="s">
        <v>155</v>
      </c>
      <c r="F356" t="s">
        <v>1358</v>
      </c>
      <c r="G356" s="55">
        <v>0</v>
      </c>
      <c r="H356" s="55" t="s">
        <v>1816</v>
      </c>
      <c r="J356" s="57">
        <f>VLOOKUP(C356,'SALARY DETALES'!$B$2:$S$475,18,0)</f>
        <v>24000</v>
      </c>
      <c r="L356" s="60" t="e">
        <f>VLOOKUP(C356,'SALARY DETALES'!B355:C828,2,0)</f>
        <v>#N/A</v>
      </c>
      <c r="O356" s="62" t="str">
        <f>VLOOKUP(C356,'SALARY DETALES'!$B$2:$D$475,3,0)</f>
        <v>CASHIER</v>
      </c>
      <c r="P356" t="s">
        <v>1359</v>
      </c>
      <c r="Q356" t="s">
        <v>1360</v>
      </c>
    </row>
    <row r="357" spans="2:18" x14ac:dyDescent="0.3">
      <c r="B357" s="55">
        <v>355</v>
      </c>
      <c r="C357" s="55">
        <v>80599</v>
      </c>
      <c r="D357" t="s">
        <v>741</v>
      </c>
      <c r="E357" t="s">
        <v>391</v>
      </c>
      <c r="F357" t="s">
        <v>1346</v>
      </c>
      <c r="G357" s="55">
        <v>420</v>
      </c>
      <c r="H357" s="55" t="s">
        <v>1817</v>
      </c>
      <c r="J357" s="57">
        <f>VLOOKUP(C357,'SALARY DETALES'!$B$2:$S$475,18,0)</f>
        <v>45000</v>
      </c>
      <c r="L357" s="60" t="e">
        <f>VLOOKUP(C357,'SALARY DETALES'!B356:C829,2,0)</f>
        <v>#N/A</v>
      </c>
      <c r="O357" s="62" t="str">
        <f>VLOOKUP(C357,'SALARY DETALES'!$B$2:$D$475,3,0)</f>
        <v>ELECTRICIAN</v>
      </c>
      <c r="P357" t="s">
        <v>1361</v>
      </c>
      <c r="Q357" t="s">
        <v>1362</v>
      </c>
      <c r="R357" t="s">
        <v>1363</v>
      </c>
    </row>
    <row r="358" spans="2:18" x14ac:dyDescent="0.3">
      <c r="B358" s="55">
        <v>356</v>
      </c>
      <c r="C358" s="55">
        <v>80600</v>
      </c>
      <c r="D358" t="s">
        <v>741</v>
      </c>
      <c r="E358" t="s">
        <v>392</v>
      </c>
      <c r="F358" t="s">
        <v>1364</v>
      </c>
      <c r="G358" s="55">
        <v>420</v>
      </c>
      <c r="H358" s="55" t="s">
        <v>1817</v>
      </c>
      <c r="J358" s="57">
        <f>VLOOKUP(C358,'SALARY DETALES'!$B$2:$S$475,18,0)</f>
        <v>30000</v>
      </c>
      <c r="L358" s="60" t="e">
        <f>VLOOKUP(C358,'SALARY DETALES'!B357:C830,2,0)</f>
        <v>#N/A</v>
      </c>
      <c r="O358" s="62" t="str">
        <f>VLOOKUP(C358,'SALARY DETALES'!$B$2:$D$475,3,0)</f>
        <v>ELECTRICIAN</v>
      </c>
      <c r="P358" t="s">
        <v>1365</v>
      </c>
      <c r="Q358" t="s">
        <v>1366</v>
      </c>
    </row>
    <row r="359" spans="2:18" x14ac:dyDescent="0.3">
      <c r="B359" s="55">
        <v>357</v>
      </c>
      <c r="C359" s="55">
        <v>80601</v>
      </c>
      <c r="D359" t="s">
        <v>741</v>
      </c>
      <c r="E359" t="s">
        <v>92</v>
      </c>
      <c r="F359" t="s">
        <v>1367</v>
      </c>
      <c r="G359" s="55">
        <v>0</v>
      </c>
      <c r="H359" s="55" t="s">
        <v>1816</v>
      </c>
      <c r="J359" s="57">
        <f>VLOOKUP(C359,'SALARY DETALES'!$B$2:$S$475,18,0)</f>
        <v>16000</v>
      </c>
      <c r="L359" s="60" t="e">
        <f>VLOOKUP(C359,'SALARY DETALES'!B358:C831,2,0)</f>
        <v>#N/A</v>
      </c>
      <c r="O359" s="62" t="str">
        <f>VLOOKUP(C359,'SALARY DETALES'!$B$2:$D$475,3,0)</f>
        <v>LAUNDRY</v>
      </c>
      <c r="P359" t="s">
        <v>1368</v>
      </c>
      <c r="Q359" t="s">
        <v>1369</v>
      </c>
    </row>
    <row r="360" spans="2:18" x14ac:dyDescent="0.3">
      <c r="B360" s="55">
        <v>358</v>
      </c>
      <c r="C360" s="55">
        <v>80602</v>
      </c>
      <c r="D360" t="s">
        <v>741</v>
      </c>
      <c r="E360" t="s">
        <v>302</v>
      </c>
      <c r="F360" t="s">
        <v>1364</v>
      </c>
      <c r="G360" s="55">
        <v>405</v>
      </c>
      <c r="H360" s="55" t="s">
        <v>1817</v>
      </c>
      <c r="J360" s="57">
        <f>VLOOKUP(C360,'SALARY DETALES'!$B$2:$S$475,18,0)</f>
        <v>28000</v>
      </c>
      <c r="L360" s="60" t="e">
        <f>VLOOKUP(C360,'SALARY DETALES'!B359:C832,2,0)</f>
        <v>#N/A</v>
      </c>
      <c r="O360" s="62" t="str">
        <f>VLOOKUP(C360,'SALARY DETALES'!$B$2:$D$475,3,0)</f>
        <v>Gro</v>
      </c>
      <c r="P360" t="s">
        <v>1370</v>
      </c>
      <c r="Q360" t="s">
        <v>1371</v>
      </c>
    </row>
    <row r="361" spans="2:18" x14ac:dyDescent="0.3">
      <c r="B361" s="55">
        <v>359</v>
      </c>
      <c r="C361" s="55">
        <v>80608</v>
      </c>
      <c r="D361" t="s">
        <v>741</v>
      </c>
      <c r="E361" t="s">
        <v>487</v>
      </c>
      <c r="F361" t="s">
        <v>803</v>
      </c>
      <c r="G361" s="55">
        <v>0</v>
      </c>
      <c r="H361" s="55" t="s">
        <v>1816</v>
      </c>
      <c r="J361" s="57">
        <f>VLOOKUP(C361,'SALARY DETALES'!$B$2:$S$475,18,0)</f>
        <v>16000</v>
      </c>
      <c r="L361" s="60" t="e">
        <f>VLOOKUP(C361,'SALARY DETALES'!B360:C833,2,0)</f>
        <v>#N/A</v>
      </c>
      <c r="O361" s="62" t="str">
        <f>VLOOKUP(C361,'SALARY DETALES'!$B$2:$D$475,3,0)</f>
        <v>BW/A</v>
      </c>
      <c r="P361" t="s">
        <v>1372</v>
      </c>
      <c r="Q361" t="s">
        <v>1373</v>
      </c>
    </row>
    <row r="362" spans="2:18" x14ac:dyDescent="0.3">
      <c r="B362" s="55">
        <v>360</v>
      </c>
      <c r="C362" s="55">
        <v>80609</v>
      </c>
      <c r="D362" t="s">
        <v>741</v>
      </c>
      <c r="E362" t="s">
        <v>444</v>
      </c>
      <c r="F362" t="s">
        <v>1374</v>
      </c>
      <c r="G362" s="55">
        <v>0</v>
      </c>
      <c r="H362" s="55" t="s">
        <v>1816</v>
      </c>
      <c r="J362" s="57">
        <f>VLOOKUP(C362,'SALARY DETALES'!$B$2:$S$475,18,0)</f>
        <v>16000</v>
      </c>
      <c r="L362" s="60" t="e">
        <f>VLOOKUP(C362,'SALARY DETALES'!B361:C834,2,0)</f>
        <v>#N/A</v>
      </c>
      <c r="O362" s="62" t="str">
        <f>VLOOKUP(C362,'SALARY DETALES'!$B$2:$D$475,3,0)</f>
        <v>RUNNER</v>
      </c>
      <c r="P362" t="s">
        <v>1375</v>
      </c>
      <c r="Q362" t="s">
        <v>1376</v>
      </c>
    </row>
    <row r="363" spans="2:18" x14ac:dyDescent="0.3">
      <c r="B363" s="55">
        <v>361</v>
      </c>
      <c r="C363" s="55">
        <v>80610</v>
      </c>
      <c r="D363" t="s">
        <v>741</v>
      </c>
      <c r="E363" t="s">
        <v>94</v>
      </c>
      <c r="F363" t="s">
        <v>1374</v>
      </c>
      <c r="G363" s="55">
        <v>0</v>
      </c>
      <c r="H363" s="55" t="s">
        <v>1816</v>
      </c>
      <c r="J363" s="57">
        <f>VLOOKUP(C363,'SALARY DETALES'!$B$2:$S$475,18,0)</f>
        <v>32000</v>
      </c>
      <c r="L363" s="60" t="e">
        <f>VLOOKUP(C363,'SALARY DETALES'!B362:C835,2,0)</f>
        <v>#N/A</v>
      </c>
      <c r="O363" s="62" t="str">
        <f>VLOOKUP(C363,'SALARY DETALES'!$B$2:$D$475,3,0)</f>
        <v>ASSEMBLER INCHARGE</v>
      </c>
      <c r="P363" t="s">
        <v>1377</v>
      </c>
      <c r="Q363" t="s">
        <v>1378</v>
      </c>
    </row>
    <row r="364" spans="2:18" x14ac:dyDescent="0.3">
      <c r="B364" s="55">
        <v>362</v>
      </c>
      <c r="C364" s="55">
        <v>80614</v>
      </c>
      <c r="D364" t="s">
        <v>741</v>
      </c>
      <c r="E364" t="s">
        <v>569</v>
      </c>
      <c r="F364" t="s">
        <v>1379</v>
      </c>
      <c r="G364" s="55">
        <v>0</v>
      </c>
      <c r="H364" s="55" t="s">
        <v>1816</v>
      </c>
      <c r="J364" s="57">
        <f>VLOOKUP(C364,'SALARY DETALES'!$B$2:$S$475,18,0)</f>
        <v>16000</v>
      </c>
      <c r="L364" s="60" t="e">
        <f>VLOOKUP(C364,'SALARY DETALES'!B363:C836,2,0)</f>
        <v>#N/A</v>
      </c>
      <c r="O364" s="62" t="str">
        <f>VLOOKUP(C364,'SALARY DETALES'!$B$2:$D$475,3,0)</f>
        <v>BW/D</v>
      </c>
      <c r="P364" t="s">
        <v>1380</v>
      </c>
      <c r="Q364" t="s">
        <v>1381</v>
      </c>
    </row>
    <row r="365" spans="2:18" x14ac:dyDescent="0.3">
      <c r="B365" s="55">
        <v>363</v>
      </c>
      <c r="C365" s="55">
        <v>80615</v>
      </c>
      <c r="D365" t="s">
        <v>741</v>
      </c>
      <c r="E365" t="s">
        <v>648</v>
      </c>
      <c r="F365" t="s">
        <v>1379</v>
      </c>
      <c r="G365" s="55">
        <v>0</v>
      </c>
      <c r="H365" s="55" t="s">
        <v>1816</v>
      </c>
      <c r="J365" s="57">
        <f>VLOOKUP(C365,'SALARY DETALES'!$B$2:$S$475,18,0)</f>
        <v>16000</v>
      </c>
      <c r="L365" s="60" t="str">
        <f>VLOOKUP(C365,'SALARY DETALES'!B364:C837,2,0)</f>
        <v>Section F2</v>
      </c>
      <c r="O365" s="62" t="str">
        <f>VLOOKUP(C365,'SALARY DETALES'!$B$2:$D$475,3,0)</f>
        <v>BW/F</v>
      </c>
      <c r="P365" t="s">
        <v>1382</v>
      </c>
      <c r="Q365" t="s">
        <v>1383</v>
      </c>
    </row>
    <row r="366" spans="2:18" x14ac:dyDescent="0.3">
      <c r="B366" s="55">
        <v>364</v>
      </c>
      <c r="C366" s="55">
        <v>80616</v>
      </c>
      <c r="D366" t="s">
        <v>741</v>
      </c>
      <c r="E366" t="s">
        <v>394</v>
      </c>
      <c r="F366" t="s">
        <v>1384</v>
      </c>
      <c r="G366" s="55">
        <v>420</v>
      </c>
      <c r="H366" s="55" t="s">
        <v>1817</v>
      </c>
      <c r="J366" s="57">
        <f>VLOOKUP(C366,'SALARY DETALES'!$B$2:$S$475,18,0)</f>
        <v>35000</v>
      </c>
      <c r="L366" s="60" t="e">
        <f>VLOOKUP(C366,'SALARY DETALES'!B365:C838,2,0)</f>
        <v>#N/A</v>
      </c>
      <c r="O366" s="62" t="str">
        <f>VLOOKUP(C366,'SALARY DETALES'!$B$2:$D$475,3,0)</f>
        <v>A/C TECHNICIAN</v>
      </c>
      <c r="P366" t="s">
        <v>1385</v>
      </c>
      <c r="Q366" t="s">
        <v>1386</v>
      </c>
    </row>
    <row r="367" spans="2:18" x14ac:dyDescent="0.3">
      <c r="B367" s="55">
        <v>365</v>
      </c>
      <c r="C367" s="55">
        <v>80617</v>
      </c>
      <c r="D367" t="s">
        <v>741</v>
      </c>
      <c r="E367" t="s">
        <v>599</v>
      </c>
      <c r="F367" t="s">
        <v>1384</v>
      </c>
      <c r="G367" s="55">
        <v>0</v>
      </c>
      <c r="H367" s="55" t="s">
        <v>1816</v>
      </c>
      <c r="J367" s="57">
        <f>VLOOKUP(C367,'SALARY DETALES'!$B$2:$S$475,18,0)</f>
        <v>16000</v>
      </c>
      <c r="L367" s="60" t="str">
        <f>VLOOKUP(C367,'SALARY DETALES'!B366:C839,2,0)</f>
        <v>Section E</v>
      </c>
      <c r="O367" s="62" t="str">
        <f>VLOOKUP(C367,'SALARY DETALES'!$B$2:$D$475,3,0)</f>
        <v>BW/E</v>
      </c>
      <c r="P367" t="s">
        <v>1387</v>
      </c>
      <c r="Q367" t="s">
        <v>1388</v>
      </c>
    </row>
    <row r="368" spans="2:18" x14ac:dyDescent="0.3">
      <c r="B368" s="55">
        <v>366</v>
      </c>
      <c r="C368" s="55">
        <v>80618</v>
      </c>
      <c r="D368" t="s">
        <v>741</v>
      </c>
      <c r="E368" t="s">
        <v>224</v>
      </c>
      <c r="F368" t="s">
        <v>1379</v>
      </c>
      <c r="G368" s="55">
        <v>0</v>
      </c>
      <c r="H368" s="55" t="s">
        <v>1816</v>
      </c>
      <c r="J368" s="57">
        <f>VLOOKUP(C368,'SALARY DETALES'!$B$2:$S$475,18,0)</f>
        <v>16000</v>
      </c>
      <c r="L368" s="60" t="e">
        <f>VLOOKUP(C368,'SALARY DETALES'!B367:C840,2,0)</f>
        <v>#N/A</v>
      </c>
      <c r="O368" s="62" t="str">
        <f>VLOOKUP(C368,'SALARY DETALES'!$B$2:$D$475,3,0)</f>
        <v>BW/D</v>
      </c>
      <c r="P368" t="s">
        <v>1389</v>
      </c>
      <c r="Q368" t="s">
        <v>1390</v>
      </c>
    </row>
    <row r="369" spans="2:20" x14ac:dyDescent="0.3">
      <c r="B369" s="55">
        <v>367</v>
      </c>
      <c r="C369" s="55">
        <v>80619</v>
      </c>
      <c r="D369" t="s">
        <v>741</v>
      </c>
      <c r="E369" t="s">
        <v>553</v>
      </c>
      <c r="F369" t="s">
        <v>1374</v>
      </c>
      <c r="G369" s="55">
        <v>0</v>
      </c>
      <c r="H369" s="55" t="s">
        <v>1816</v>
      </c>
      <c r="J369" s="57">
        <f>VLOOKUP(C369,'SALARY DETALES'!$B$2:$S$475,18,0)</f>
        <v>20000</v>
      </c>
      <c r="L369" s="60" t="e">
        <f>VLOOKUP(C369,'SALARY DETALES'!B368:C841,2,0)</f>
        <v>#N/A</v>
      </c>
      <c r="O369" s="62" t="str">
        <f>VLOOKUP(C369,'SALARY DETALES'!$B$2:$D$475,3,0)</f>
        <v>BW/B</v>
      </c>
      <c r="P369" t="s">
        <v>1391</v>
      </c>
      <c r="Q369" t="s">
        <v>1392</v>
      </c>
    </row>
    <row r="370" spans="2:20" x14ac:dyDescent="0.3">
      <c r="B370" s="55">
        <v>368</v>
      </c>
      <c r="C370" s="55">
        <v>80620</v>
      </c>
      <c r="D370" t="s">
        <v>741</v>
      </c>
      <c r="E370" t="s">
        <v>445</v>
      </c>
      <c r="F370" t="s">
        <v>1393</v>
      </c>
      <c r="G370" s="55">
        <v>0</v>
      </c>
      <c r="H370" s="55" t="s">
        <v>1816</v>
      </c>
      <c r="J370" s="57">
        <f>VLOOKUP(C370,'SALARY DETALES'!$B$2:$S$475,18,0)</f>
        <v>16000</v>
      </c>
      <c r="L370" s="60" t="e">
        <f>VLOOKUP(C370,'SALARY DETALES'!B369:C842,2,0)</f>
        <v>#N/A</v>
      </c>
      <c r="O370" s="62" t="str">
        <f>VLOOKUP(C370,'SALARY DETALES'!$B$2:$D$475,3,0)</f>
        <v>RUNNER</v>
      </c>
      <c r="P370" t="s">
        <v>1394</v>
      </c>
      <c r="Q370" t="s">
        <v>1395</v>
      </c>
    </row>
    <row r="371" spans="2:20" x14ac:dyDescent="0.3">
      <c r="B371" s="55">
        <v>369</v>
      </c>
      <c r="C371" s="55">
        <v>80621</v>
      </c>
      <c r="D371" t="s">
        <v>741</v>
      </c>
      <c r="E371" t="s">
        <v>446</v>
      </c>
      <c r="F371" t="s">
        <v>1396</v>
      </c>
      <c r="G371" s="55">
        <v>0</v>
      </c>
      <c r="H371" s="55" t="s">
        <v>1816</v>
      </c>
      <c r="J371" s="57">
        <f>VLOOKUP(C371,'SALARY DETALES'!$B$2:$S$475,18,0)</f>
        <v>17600</v>
      </c>
      <c r="L371" s="60" t="e">
        <f>VLOOKUP(C371,'SALARY DETALES'!B370:C843,2,0)</f>
        <v>#N/A</v>
      </c>
      <c r="O371" s="62" t="str">
        <f>VLOOKUP(C371,'SALARY DETALES'!$B$2:$D$475,3,0)</f>
        <v>RUNNER</v>
      </c>
      <c r="P371" t="s">
        <v>1397</v>
      </c>
      <c r="Q371" t="s">
        <v>1398</v>
      </c>
    </row>
    <row r="372" spans="2:20" x14ac:dyDescent="0.3">
      <c r="B372" s="55">
        <v>370</v>
      </c>
      <c r="C372" s="55">
        <v>80622</v>
      </c>
      <c r="D372" t="s">
        <v>741</v>
      </c>
      <c r="E372" t="s">
        <v>447</v>
      </c>
      <c r="F372" t="s">
        <v>1374</v>
      </c>
      <c r="G372" s="55">
        <v>0</v>
      </c>
      <c r="H372" s="55" t="s">
        <v>1816</v>
      </c>
      <c r="J372" s="57">
        <f>VLOOKUP(C372,'SALARY DETALES'!$B$2:$S$475,18,0)</f>
        <v>16000</v>
      </c>
      <c r="L372" s="60" t="e">
        <f>VLOOKUP(C372,'SALARY DETALES'!B371:C844,2,0)</f>
        <v>#N/A</v>
      </c>
      <c r="O372" s="62" t="str">
        <f>VLOOKUP(C372,'SALARY DETALES'!$B$2:$D$475,3,0)</f>
        <v>RUNNER</v>
      </c>
      <c r="P372" t="s">
        <v>1399</v>
      </c>
      <c r="Q372" t="s">
        <v>1400</v>
      </c>
    </row>
    <row r="373" spans="2:20" x14ac:dyDescent="0.3">
      <c r="B373" s="55">
        <v>371</v>
      </c>
      <c r="C373" s="55">
        <v>80623</v>
      </c>
      <c r="D373" t="s">
        <v>741</v>
      </c>
      <c r="E373" t="s">
        <v>592</v>
      </c>
      <c r="F373" t="s">
        <v>1379</v>
      </c>
      <c r="G373" s="55">
        <v>0</v>
      </c>
      <c r="H373" s="55" t="s">
        <v>1816</v>
      </c>
      <c r="J373" s="57">
        <f>VLOOKUP(C373,'SALARY DETALES'!$B$2:$S$475,18,0)</f>
        <v>16000</v>
      </c>
      <c r="L373" s="60" t="str">
        <f>VLOOKUP(C373,'SALARY DETALES'!B372:C845,2,0)</f>
        <v>Section D #2</v>
      </c>
      <c r="O373" s="62" t="str">
        <f>VLOOKUP(C373,'SALARY DETALES'!$B$2:$D$475,3,0)</f>
        <v>BW/D</v>
      </c>
      <c r="Q373" t="s">
        <v>1401</v>
      </c>
    </row>
    <row r="374" spans="2:20" hidden="1" x14ac:dyDescent="0.3">
      <c r="B374" s="55">
        <v>372</v>
      </c>
      <c r="C374" s="55">
        <v>80626</v>
      </c>
      <c r="D374" t="s">
        <v>741</v>
      </c>
      <c r="E374" t="s">
        <v>550</v>
      </c>
      <c r="F374" t="s">
        <v>943</v>
      </c>
      <c r="G374" s="55">
        <v>0</v>
      </c>
      <c r="H374" s="55" t="s">
        <v>1816</v>
      </c>
      <c r="J374" s="57" t="e">
        <f>VLOOKUP(C374,'SALARY DETALES'!$B$2:$S$475,18,0)</f>
        <v>#N/A</v>
      </c>
      <c r="L374" s="60" t="e">
        <f>VLOOKUP(C374,'SALARY DETALES'!B373:C846,2,0)</f>
        <v>#N/A</v>
      </c>
      <c r="O374" s="62" t="e">
        <f>VLOOKUP(C374,'SALARY DETALES'!$B$2:$D$475,3,0)</f>
        <v>#N/A</v>
      </c>
    </row>
    <row r="375" spans="2:20" x14ac:dyDescent="0.3">
      <c r="B375" s="55">
        <v>373</v>
      </c>
      <c r="C375" s="55">
        <v>22021</v>
      </c>
      <c r="D375" t="s">
        <v>741</v>
      </c>
      <c r="E375" t="s">
        <v>274</v>
      </c>
      <c r="F375" t="s">
        <v>1402</v>
      </c>
      <c r="G375" s="55">
        <v>0</v>
      </c>
      <c r="H375" s="55" t="s">
        <v>1816</v>
      </c>
      <c r="J375" s="57">
        <f>VLOOKUP(C375,'SALARY DETALES'!$B$2:$S$475,18,0)</f>
        <v>16000</v>
      </c>
      <c r="L375" s="60" t="e">
        <f>VLOOKUP(C375,'SALARY DETALES'!B374:C847,2,0)</f>
        <v>#N/A</v>
      </c>
      <c r="O375" s="62" t="str">
        <f>VLOOKUP(C375,'SALARY DETALES'!$B$2:$D$475,3,0)</f>
        <v>WIPPING</v>
      </c>
      <c r="P375" t="s">
        <v>1403</v>
      </c>
      <c r="Q375" t="s">
        <v>1404</v>
      </c>
    </row>
    <row r="376" spans="2:20" x14ac:dyDescent="0.3">
      <c r="B376" s="55">
        <v>374</v>
      </c>
      <c r="C376" s="55">
        <v>80627</v>
      </c>
      <c r="D376" t="s">
        <v>741</v>
      </c>
      <c r="E376" t="s">
        <v>226</v>
      </c>
      <c r="F376" t="s">
        <v>1405</v>
      </c>
      <c r="G376" s="55">
        <v>0</v>
      </c>
      <c r="H376" s="55" t="s">
        <v>1816</v>
      </c>
      <c r="J376" s="57">
        <f>VLOOKUP(C376,'SALARY DETALES'!$B$2:$S$475,18,0)</f>
        <v>16000</v>
      </c>
      <c r="L376" s="60" t="e">
        <f>VLOOKUP(C376,'SALARY DETALES'!B375:C848,2,0)</f>
        <v>#N/A</v>
      </c>
      <c r="O376" s="62" t="str">
        <f>VLOOKUP(C376,'SALARY DETALES'!$B$2:$D$475,3,0)</f>
        <v>BWW/F</v>
      </c>
      <c r="P376" t="s">
        <v>1406</v>
      </c>
      <c r="Q376" t="s">
        <v>1407</v>
      </c>
    </row>
    <row r="377" spans="2:20" x14ac:dyDescent="0.3">
      <c r="B377" s="55">
        <v>375</v>
      </c>
      <c r="C377" s="55">
        <v>80628</v>
      </c>
      <c r="D377" t="s">
        <v>741</v>
      </c>
      <c r="E377" t="s">
        <v>303</v>
      </c>
      <c r="F377" t="s">
        <v>1408</v>
      </c>
      <c r="G377" s="55">
        <v>405</v>
      </c>
      <c r="H377" s="55" t="s">
        <v>1817</v>
      </c>
      <c r="J377" s="57">
        <f>VLOOKUP(C377,'SALARY DETALES'!$B$2:$S$475,18,0)</f>
        <v>28000</v>
      </c>
      <c r="L377" s="60" t="e">
        <f>VLOOKUP(C377,'SALARY DETALES'!B376:C849,2,0)</f>
        <v>#N/A</v>
      </c>
      <c r="O377" s="62" t="str">
        <f>VLOOKUP(C377,'SALARY DETALES'!$B$2:$D$475,3,0)</f>
        <v>GRO</v>
      </c>
      <c r="P377" t="s">
        <v>1409</v>
      </c>
      <c r="Q377" t="s">
        <v>1410</v>
      </c>
    </row>
    <row r="378" spans="2:20" x14ac:dyDescent="0.3">
      <c r="B378" s="55">
        <v>376</v>
      </c>
      <c r="C378" s="55">
        <v>80629</v>
      </c>
      <c r="D378" t="s">
        <v>719</v>
      </c>
      <c r="E378" t="s">
        <v>256</v>
      </c>
      <c r="F378" t="s">
        <v>1402</v>
      </c>
      <c r="G378" s="55">
        <v>0</v>
      </c>
      <c r="H378" s="55" t="s">
        <v>1816</v>
      </c>
      <c r="J378" s="57">
        <f>VLOOKUP(C378,'SALARY DETALES'!$B$2:$S$475,18,0)</f>
        <v>25000</v>
      </c>
      <c r="L378" s="60" t="e">
        <f>VLOOKUP(C378,'SALARY DETALES'!B377:C850,2,0)</f>
        <v>#N/A</v>
      </c>
      <c r="O378" s="62" t="str">
        <f>VLOOKUP(C378,'SALARY DETALES'!$B$2:$D$475,3,0)</f>
        <v>CAPTAIN</v>
      </c>
      <c r="P378" t="s">
        <v>1411</v>
      </c>
      <c r="Q378" t="s">
        <v>1412</v>
      </c>
    </row>
    <row r="379" spans="2:20" x14ac:dyDescent="0.3">
      <c r="B379" s="55">
        <v>377</v>
      </c>
      <c r="C379" s="55">
        <v>80630</v>
      </c>
      <c r="D379" t="s">
        <v>741</v>
      </c>
      <c r="E379" t="s">
        <v>448</v>
      </c>
      <c r="F379" t="s">
        <v>1413</v>
      </c>
      <c r="G379" s="55">
        <v>0</v>
      </c>
      <c r="H379" s="55" t="s">
        <v>1816</v>
      </c>
      <c r="J379" s="57">
        <f>VLOOKUP(C379,'SALARY DETALES'!$B$2:$S$475,18,0)</f>
        <v>16000</v>
      </c>
      <c r="L379" s="60" t="e">
        <f>VLOOKUP(C379,'SALARY DETALES'!B378:C851,2,0)</f>
        <v>#N/A</v>
      </c>
      <c r="O379" s="62" t="str">
        <f>VLOOKUP(C379,'SALARY DETALES'!$B$2:$D$475,3,0)</f>
        <v>RUNNER</v>
      </c>
      <c r="P379" t="s">
        <v>1414</v>
      </c>
      <c r="Q379" t="s">
        <v>1415</v>
      </c>
    </row>
    <row r="380" spans="2:20" hidden="1" x14ac:dyDescent="0.3">
      <c r="B380" s="55">
        <v>378</v>
      </c>
      <c r="C380" s="55">
        <v>80631</v>
      </c>
      <c r="D380" t="s">
        <v>741</v>
      </c>
      <c r="E380" t="s">
        <v>1751</v>
      </c>
      <c r="F380" t="s">
        <v>1384</v>
      </c>
      <c r="G380" s="55">
        <v>60</v>
      </c>
      <c r="H380" s="55" t="s">
        <v>1817</v>
      </c>
      <c r="J380" s="57" t="e">
        <f>VLOOKUP(C380,'SALARY DETALES'!$B$2:$S$475,18,0)</f>
        <v>#N/A</v>
      </c>
      <c r="L380" s="60" t="e">
        <f>VLOOKUP(C380,'SALARY DETALES'!B379:C852,2,0)</f>
        <v>#N/A</v>
      </c>
      <c r="O380" s="62" t="e">
        <f>VLOOKUP(C380,'SALARY DETALES'!$B$2:$D$475,3,0)</f>
        <v>#N/A</v>
      </c>
      <c r="Q380" t="s">
        <v>1416</v>
      </c>
    </row>
    <row r="381" spans="2:20" x14ac:dyDescent="0.3">
      <c r="B381" s="55">
        <v>379</v>
      </c>
      <c r="C381" s="55">
        <v>80632</v>
      </c>
      <c r="D381" t="s">
        <v>741</v>
      </c>
      <c r="E381" t="s">
        <v>95</v>
      </c>
      <c r="F381" t="s">
        <v>1417</v>
      </c>
      <c r="G381" s="55">
        <v>0</v>
      </c>
      <c r="H381" s="55" t="s">
        <v>1816</v>
      </c>
      <c r="J381" s="57">
        <f>VLOOKUP(C381,'SALARY DETALES'!$B$2:$S$475,18,0)</f>
        <v>16000</v>
      </c>
      <c r="L381" s="60" t="e">
        <f>VLOOKUP(C381,'SALARY DETALES'!B380:C853,2,0)</f>
        <v>#N/A</v>
      </c>
      <c r="O381" s="62" t="str">
        <f>VLOOKUP(C381,'SALARY DETALES'!$B$2:$D$475,3,0)</f>
        <v>LAUNDRY</v>
      </c>
      <c r="P381" t="s">
        <v>1418</v>
      </c>
      <c r="Q381" t="s">
        <v>1419</v>
      </c>
    </row>
    <row r="382" spans="2:20" x14ac:dyDescent="0.3">
      <c r="B382" s="55">
        <v>380</v>
      </c>
      <c r="C382" s="55">
        <v>80634</v>
      </c>
      <c r="D382" t="s">
        <v>741</v>
      </c>
      <c r="E382" t="s">
        <v>290</v>
      </c>
      <c r="F382" t="s">
        <v>1420</v>
      </c>
      <c r="G382" s="55">
        <v>405</v>
      </c>
      <c r="H382" s="55" t="s">
        <v>1817</v>
      </c>
      <c r="J382" s="57">
        <f>VLOOKUP(C382,'SALARY DETALES'!$B$2:$S$475,18,0)</f>
        <v>28000</v>
      </c>
      <c r="L382" s="60" t="e">
        <f>VLOOKUP(C382,'SALARY DETALES'!B381:C854,2,0)</f>
        <v>#N/A</v>
      </c>
      <c r="O382" s="62" t="str">
        <f>VLOOKUP(C382,'SALARY DETALES'!$B$2:$D$475,3,0)</f>
        <v>Gro</v>
      </c>
      <c r="Q382" t="s">
        <v>1421</v>
      </c>
      <c r="T382" t="s">
        <v>1422</v>
      </c>
    </row>
    <row r="383" spans="2:20" x14ac:dyDescent="0.3">
      <c r="B383" s="55">
        <v>381</v>
      </c>
      <c r="C383" s="55">
        <v>80636</v>
      </c>
      <c r="D383" t="s">
        <v>741</v>
      </c>
      <c r="E383" t="s">
        <v>262</v>
      </c>
      <c r="F383" t="s">
        <v>1423</v>
      </c>
      <c r="G383" s="55">
        <v>0</v>
      </c>
      <c r="H383" s="55" t="s">
        <v>1816</v>
      </c>
      <c r="J383" s="57">
        <f>VLOOKUP(C383,'SALARY DETALES'!$B$2:$S$475,18,0)</f>
        <v>16000</v>
      </c>
      <c r="L383" s="60" t="e">
        <f>VLOOKUP(C383,'SALARY DETALES'!B382:C855,2,0)</f>
        <v>#N/A</v>
      </c>
      <c r="O383" s="62" t="str">
        <f>VLOOKUP(C383,'SALARY DETALES'!$B$2:$D$475,3,0)</f>
        <v>WIPPING</v>
      </c>
    </row>
    <row r="384" spans="2:20" x14ac:dyDescent="0.3">
      <c r="B384" s="55">
        <v>382</v>
      </c>
      <c r="C384" s="55">
        <v>80637</v>
      </c>
      <c r="D384" t="s">
        <v>741</v>
      </c>
      <c r="E384" t="s">
        <v>449</v>
      </c>
      <c r="F384" t="s">
        <v>1424</v>
      </c>
      <c r="G384" s="55">
        <v>0</v>
      </c>
      <c r="H384" s="55" t="s">
        <v>1816</v>
      </c>
      <c r="J384" s="57">
        <f>VLOOKUP(C384,'SALARY DETALES'!$B$2:$S$475,18,0)</f>
        <v>17600</v>
      </c>
      <c r="L384" s="60" t="e">
        <f>VLOOKUP(C384,'SALARY DETALES'!B383:C856,2,0)</f>
        <v>#N/A</v>
      </c>
      <c r="O384" s="62" t="str">
        <f>VLOOKUP(C384,'SALARY DETALES'!$B$2:$D$475,3,0)</f>
        <v>Runner</v>
      </c>
      <c r="Q384" t="s">
        <v>1425</v>
      </c>
    </row>
    <row r="385" spans="2:17" x14ac:dyDescent="0.3">
      <c r="B385" s="55">
        <v>383</v>
      </c>
      <c r="C385" s="55">
        <v>80638</v>
      </c>
      <c r="D385" t="s">
        <v>741</v>
      </c>
      <c r="E385" t="s">
        <v>450</v>
      </c>
      <c r="F385" t="s">
        <v>1424</v>
      </c>
      <c r="G385" s="55">
        <v>0</v>
      </c>
      <c r="H385" s="55" t="s">
        <v>1816</v>
      </c>
      <c r="J385" s="57">
        <f>VLOOKUP(C385,'SALARY DETALES'!$B$2:$S$475,18,0)</f>
        <v>17600</v>
      </c>
      <c r="L385" s="60" t="e">
        <f>VLOOKUP(C385,'SALARY DETALES'!B384:C857,2,0)</f>
        <v>#N/A</v>
      </c>
      <c r="O385" s="62" t="str">
        <f>VLOOKUP(C385,'SALARY DETALES'!$B$2:$D$475,3,0)</f>
        <v>Runner</v>
      </c>
      <c r="Q385" t="s">
        <v>1426</v>
      </c>
    </row>
    <row r="386" spans="2:17" x14ac:dyDescent="0.3">
      <c r="B386" s="55">
        <v>384</v>
      </c>
      <c r="C386" s="55">
        <v>80639</v>
      </c>
      <c r="D386" t="s">
        <v>741</v>
      </c>
      <c r="E386" t="s">
        <v>172</v>
      </c>
      <c r="F386" t="s">
        <v>1424</v>
      </c>
      <c r="G386" s="55">
        <v>0</v>
      </c>
      <c r="H386" s="55" t="s">
        <v>1816</v>
      </c>
      <c r="J386" s="57">
        <f>VLOOKUP(C386,'SALARY DETALES'!$B$2:$S$475,18,0)</f>
        <v>30000</v>
      </c>
      <c r="L386" s="60" t="e">
        <f>VLOOKUP(C386,'SALARY DETALES'!B385:C858,2,0)</f>
        <v>#N/A</v>
      </c>
      <c r="O386" s="62" t="str">
        <f>VLOOKUP(C386,'SALARY DETALES'!$B$2:$D$475,3,0)</f>
        <v>HELPER</v>
      </c>
      <c r="Q386" t="s">
        <v>1427</v>
      </c>
    </row>
    <row r="387" spans="2:17" x14ac:dyDescent="0.3">
      <c r="B387" s="55">
        <v>385</v>
      </c>
      <c r="C387" s="55">
        <v>80641</v>
      </c>
      <c r="D387" t="s">
        <v>741</v>
      </c>
      <c r="E387" t="s">
        <v>554</v>
      </c>
      <c r="F387" t="s">
        <v>1428</v>
      </c>
      <c r="G387" s="55">
        <v>0</v>
      </c>
      <c r="H387" s="55" t="s">
        <v>1816</v>
      </c>
      <c r="J387" s="57">
        <f>VLOOKUP(C387,'SALARY DETALES'!$B$2:$S$475,18,0)</f>
        <v>16000</v>
      </c>
      <c r="L387" s="60" t="e">
        <f>VLOOKUP(C387,'SALARY DETALES'!B386:C859,2,0)</f>
        <v>#N/A</v>
      </c>
      <c r="O387" s="62" t="str">
        <f>VLOOKUP(C387,'SALARY DETALES'!$B$2:$D$475,3,0)</f>
        <v>B/W</v>
      </c>
    </row>
    <row r="388" spans="2:17" x14ac:dyDescent="0.3">
      <c r="B388" s="55">
        <v>386</v>
      </c>
      <c r="C388" s="55">
        <v>80642</v>
      </c>
      <c r="D388" t="s">
        <v>741</v>
      </c>
      <c r="E388" t="s">
        <v>199</v>
      </c>
      <c r="F388" t="s">
        <v>1176</v>
      </c>
      <c r="G388" s="55">
        <v>0</v>
      </c>
      <c r="H388" s="55" t="s">
        <v>1816</v>
      </c>
      <c r="J388" s="57">
        <f>VLOOKUP(C388,'SALARY DETALES'!$B$2:$S$475,18,0)</f>
        <v>25000</v>
      </c>
      <c r="L388" s="60" t="e">
        <f>VLOOKUP(C388,'SALARY DETALES'!B387:C860,2,0)</f>
        <v>#N/A</v>
      </c>
      <c r="O388" s="62" t="str">
        <f>VLOOKUP(C388,'SALARY DETALES'!$B$2:$D$475,3,0)</f>
        <v>HELPER</v>
      </c>
    </row>
    <row r="389" spans="2:17" x14ac:dyDescent="0.3">
      <c r="B389" s="55">
        <v>387</v>
      </c>
      <c r="C389" s="55">
        <v>80643</v>
      </c>
      <c r="D389" t="s">
        <v>741</v>
      </c>
      <c r="E389" t="s">
        <v>395</v>
      </c>
      <c r="F389" t="s">
        <v>1408</v>
      </c>
      <c r="G389" s="55">
        <v>0</v>
      </c>
      <c r="H389" s="55" t="s">
        <v>1816</v>
      </c>
      <c r="J389" s="57">
        <f>VLOOKUP(C389,'SALARY DETALES'!$B$2:$S$475,18,0)</f>
        <v>20000</v>
      </c>
      <c r="L389" s="60" t="e">
        <f>VLOOKUP(C389,'SALARY DETALES'!B388:C861,2,0)</f>
        <v>#N/A</v>
      </c>
      <c r="O389" s="62" t="str">
        <f>VLOOKUP(C389,'SALARY DETALES'!$B$2:$D$475,3,0)</f>
        <v>HELPER</v>
      </c>
      <c r="Q389" t="s">
        <v>1429</v>
      </c>
    </row>
    <row r="390" spans="2:17" x14ac:dyDescent="0.3">
      <c r="B390" s="55">
        <v>388</v>
      </c>
      <c r="C390" s="55">
        <v>80644</v>
      </c>
      <c r="D390" t="s">
        <v>741</v>
      </c>
      <c r="E390" t="s">
        <v>519</v>
      </c>
      <c r="F390" t="s">
        <v>956</v>
      </c>
      <c r="G390" s="55">
        <v>0</v>
      </c>
      <c r="H390" s="55" t="s">
        <v>1816</v>
      </c>
      <c r="J390" s="57">
        <f>VLOOKUP(C390,'SALARY DETALES'!$B$2:$S$475,18,0)</f>
        <v>16000</v>
      </c>
      <c r="L390" s="60" t="e">
        <f>VLOOKUP(C390,'SALARY DETALES'!B389:C862,2,0)</f>
        <v>#N/A</v>
      </c>
      <c r="O390" s="62" t="str">
        <f>VLOOKUP(C390,'SALARY DETALES'!$B$2:$D$475,3,0)</f>
        <v>B/W</v>
      </c>
      <c r="Q390" t="s">
        <v>1430</v>
      </c>
    </row>
    <row r="391" spans="2:17" x14ac:dyDescent="0.3">
      <c r="B391" s="55">
        <v>389</v>
      </c>
      <c r="C391" s="55">
        <v>80645</v>
      </c>
      <c r="D391" t="s">
        <v>741</v>
      </c>
      <c r="E391" t="s">
        <v>507</v>
      </c>
      <c r="F391" t="s">
        <v>971</v>
      </c>
      <c r="G391" s="55">
        <v>0</v>
      </c>
      <c r="H391" s="55" t="s">
        <v>1816</v>
      </c>
      <c r="J391" s="57">
        <f>VLOOKUP(C391,'SALARY DETALES'!$B$2:$S$475,18,0)</f>
        <v>20000</v>
      </c>
      <c r="L391" s="60" t="e">
        <f>VLOOKUP(C391,'SALARY DETALES'!B390:C863,2,0)</f>
        <v>#N/A</v>
      </c>
      <c r="O391" s="62" t="str">
        <f>VLOOKUP(C391,'SALARY DETALES'!$B$2:$D$475,3,0)</f>
        <v>B/W</v>
      </c>
      <c r="Q391" t="s">
        <v>1431</v>
      </c>
    </row>
    <row r="392" spans="2:17" x14ac:dyDescent="0.3">
      <c r="B392" s="55">
        <v>390</v>
      </c>
      <c r="C392" s="55">
        <v>80646</v>
      </c>
      <c r="D392" t="s">
        <v>741</v>
      </c>
      <c r="E392" t="s">
        <v>593</v>
      </c>
      <c r="F392" t="s">
        <v>956</v>
      </c>
      <c r="G392" s="55">
        <v>0</v>
      </c>
      <c r="H392" s="55" t="s">
        <v>1816</v>
      </c>
      <c r="J392" s="57">
        <f>VLOOKUP(C392,'SALARY DETALES'!$B$2:$S$475,18,0)</f>
        <v>16000</v>
      </c>
      <c r="L392" s="60" t="e">
        <f>VLOOKUP(C392,'SALARY DETALES'!B391:C864,2,0)</f>
        <v>#N/A</v>
      </c>
      <c r="O392" s="62" t="str">
        <f>VLOOKUP(C392,'SALARY DETALES'!$B$2:$D$475,3,0)</f>
        <v>B/W</v>
      </c>
      <c r="Q392" t="s">
        <v>1432</v>
      </c>
    </row>
    <row r="393" spans="2:17" x14ac:dyDescent="0.3">
      <c r="B393" s="55">
        <v>391</v>
      </c>
      <c r="C393" s="55">
        <v>80650</v>
      </c>
      <c r="D393" t="s">
        <v>741</v>
      </c>
      <c r="E393" t="s">
        <v>304</v>
      </c>
      <c r="F393" t="s">
        <v>1433</v>
      </c>
      <c r="G393" s="55">
        <v>405</v>
      </c>
      <c r="H393" s="55" t="s">
        <v>1817</v>
      </c>
      <c r="J393" s="57">
        <f>VLOOKUP(C393,'SALARY DETALES'!$B$2:$S$475,18,0)</f>
        <v>28000</v>
      </c>
      <c r="L393" s="60" t="e">
        <f>VLOOKUP(C393,'SALARY DETALES'!B392:C865,2,0)</f>
        <v>#N/A</v>
      </c>
      <c r="O393" s="62" t="str">
        <f>VLOOKUP(C393,'SALARY DETALES'!$B$2:$D$475,3,0)</f>
        <v>Gro</v>
      </c>
    </row>
    <row r="394" spans="2:17" x14ac:dyDescent="0.3">
      <c r="B394" s="55">
        <v>392</v>
      </c>
      <c r="C394" s="55">
        <v>80651</v>
      </c>
      <c r="D394" t="s">
        <v>741</v>
      </c>
      <c r="E394" t="s">
        <v>451</v>
      </c>
      <c r="F394" t="s">
        <v>1434</v>
      </c>
      <c r="G394" s="55">
        <v>0</v>
      </c>
      <c r="H394" s="55" t="s">
        <v>1816</v>
      </c>
      <c r="J394" s="57">
        <f>VLOOKUP(C394,'SALARY DETALES'!$B$2:$S$475,18,0)</f>
        <v>16000</v>
      </c>
      <c r="L394" s="60" t="e">
        <f>VLOOKUP(C394,'SALARY DETALES'!B393:C866,2,0)</f>
        <v>#N/A</v>
      </c>
      <c r="O394" s="62" t="str">
        <f>VLOOKUP(C394,'SALARY DETALES'!$B$2:$D$475,3,0)</f>
        <v>Runner</v>
      </c>
    </row>
    <row r="395" spans="2:17" x14ac:dyDescent="0.3">
      <c r="B395" s="55">
        <v>393</v>
      </c>
      <c r="C395" s="55">
        <v>80652</v>
      </c>
      <c r="D395" t="s">
        <v>741</v>
      </c>
      <c r="E395" t="s">
        <v>252</v>
      </c>
      <c r="F395" t="s">
        <v>878</v>
      </c>
      <c r="G395" s="55">
        <v>0</v>
      </c>
      <c r="H395" s="55" t="s">
        <v>1816</v>
      </c>
      <c r="J395" s="57">
        <f>VLOOKUP(C395,'SALARY DETALES'!$B$2:$S$475,18,0)</f>
        <v>16000</v>
      </c>
      <c r="L395" s="60" t="e">
        <f>VLOOKUP(C395,'SALARY DETALES'!B394:C867,2,0)</f>
        <v>#N/A</v>
      </c>
      <c r="O395" s="62" t="str">
        <f>VLOOKUP(C395,'SALARY DETALES'!$B$2:$D$475,3,0)</f>
        <v>Runner</v>
      </c>
    </row>
    <row r="396" spans="2:17" x14ac:dyDescent="0.3">
      <c r="B396" s="55">
        <v>394</v>
      </c>
      <c r="C396" s="55">
        <v>80653</v>
      </c>
      <c r="D396" t="s">
        <v>741</v>
      </c>
      <c r="E396" t="s">
        <v>156</v>
      </c>
      <c r="F396" t="s">
        <v>1435</v>
      </c>
      <c r="G396" s="55">
        <v>0</v>
      </c>
      <c r="H396" s="55" t="s">
        <v>1816</v>
      </c>
      <c r="J396" s="57">
        <f>VLOOKUP(C396,'SALARY DETALES'!$B$2:$S$475,18,0)</f>
        <v>24000</v>
      </c>
      <c r="L396" s="60" t="e">
        <f>VLOOKUP(C396,'SALARY DETALES'!B395:C868,2,0)</f>
        <v>#N/A</v>
      </c>
      <c r="O396" s="62" t="str">
        <f>VLOOKUP(C396,'SALARY DETALES'!$B$2:$D$475,3,0)</f>
        <v>CASHIER</v>
      </c>
      <c r="P396" t="s">
        <v>1436</v>
      </c>
      <c r="Q396" t="s">
        <v>1437</v>
      </c>
    </row>
    <row r="397" spans="2:17" x14ac:dyDescent="0.3">
      <c r="B397" s="55">
        <v>395</v>
      </c>
      <c r="C397" s="55">
        <v>80654</v>
      </c>
      <c r="D397" t="s">
        <v>741</v>
      </c>
      <c r="E397" t="s">
        <v>305</v>
      </c>
      <c r="F397" t="s">
        <v>1434</v>
      </c>
      <c r="G397" s="55">
        <v>405</v>
      </c>
      <c r="H397" s="55" t="s">
        <v>1817</v>
      </c>
      <c r="J397" s="57">
        <f>VLOOKUP(C397,'SALARY DETALES'!$B$2:$S$475,18,0)</f>
        <v>28000</v>
      </c>
      <c r="L397" s="60" t="e">
        <f>VLOOKUP(C397,'SALARY DETALES'!B396:C869,2,0)</f>
        <v>#N/A</v>
      </c>
      <c r="O397" s="62" t="str">
        <f>VLOOKUP(C397,'SALARY DETALES'!$B$2:$D$475,3,0)</f>
        <v>GRO</v>
      </c>
      <c r="P397" t="s">
        <v>1438</v>
      </c>
    </row>
    <row r="398" spans="2:17" x14ac:dyDescent="0.3">
      <c r="B398" s="55">
        <v>396</v>
      </c>
      <c r="C398" s="55">
        <v>80655</v>
      </c>
      <c r="D398" t="s">
        <v>741</v>
      </c>
      <c r="E398" t="s">
        <v>291</v>
      </c>
      <c r="F398" t="s">
        <v>1434</v>
      </c>
      <c r="G398" s="55">
        <v>405</v>
      </c>
      <c r="H398" s="55" t="s">
        <v>1817</v>
      </c>
      <c r="J398" s="57">
        <f>VLOOKUP(C398,'SALARY DETALES'!$B$2:$S$475,18,0)</f>
        <v>28000</v>
      </c>
      <c r="L398" s="60" t="e">
        <f>VLOOKUP(C398,'SALARY DETALES'!B397:C870,2,0)</f>
        <v>#N/A</v>
      </c>
      <c r="O398" s="62" t="str">
        <f>VLOOKUP(C398,'SALARY DETALES'!$B$2:$D$475,3,0)</f>
        <v>GRO</v>
      </c>
      <c r="P398" t="s">
        <v>1439</v>
      </c>
      <c r="Q398" t="s">
        <v>1440</v>
      </c>
    </row>
    <row r="399" spans="2:17" x14ac:dyDescent="0.3">
      <c r="B399" s="55">
        <v>397</v>
      </c>
      <c r="C399" s="55">
        <v>80657</v>
      </c>
      <c r="D399" t="s">
        <v>741</v>
      </c>
      <c r="E399" t="s">
        <v>58</v>
      </c>
      <c r="F399" t="s">
        <v>1435</v>
      </c>
      <c r="G399" s="55">
        <v>0</v>
      </c>
      <c r="H399" s="55" t="s">
        <v>1816</v>
      </c>
      <c r="J399" s="57">
        <f>VLOOKUP(C399,'SALARY DETALES'!$B$2:$S$475,18,0)</f>
        <v>35000</v>
      </c>
      <c r="L399" s="60" t="e">
        <f>VLOOKUP(C399,'SALARY DETALES'!B398:C871,2,0)</f>
        <v>#N/A</v>
      </c>
      <c r="O399" s="62" t="str">
        <f>VLOOKUP(C399,'SALARY DETALES'!$B$2:$D$475,3,0)</f>
        <v>Accounts Assistant</v>
      </c>
    </row>
    <row r="400" spans="2:17" x14ac:dyDescent="0.3">
      <c r="B400" s="55">
        <v>398</v>
      </c>
      <c r="C400" s="55">
        <v>80658</v>
      </c>
      <c r="D400" t="s">
        <v>741</v>
      </c>
      <c r="E400" t="s">
        <v>130</v>
      </c>
      <c r="F400" t="s">
        <v>1006</v>
      </c>
      <c r="G400" s="55">
        <v>0</v>
      </c>
      <c r="H400" s="55" t="s">
        <v>1816</v>
      </c>
      <c r="J400" s="57">
        <f>VLOOKUP(C400,'SALARY DETALES'!$B$2:$S$475,18,0)</f>
        <v>25000</v>
      </c>
      <c r="L400" s="60" t="e">
        <f>VLOOKUP(C400,'SALARY DETALES'!B399:C872,2,0)</f>
        <v>#N/A</v>
      </c>
      <c r="O400" s="62" t="str">
        <f>VLOOKUP(C400,'SALARY DETALES'!$B$2:$D$475,3,0)</f>
        <v>Bbq helper</v>
      </c>
    </row>
    <row r="401" spans="2:17" hidden="1" x14ac:dyDescent="0.3">
      <c r="B401" s="55">
        <v>399</v>
      </c>
      <c r="C401" s="55">
        <v>80659</v>
      </c>
      <c r="D401" t="s">
        <v>741</v>
      </c>
      <c r="E401" t="s">
        <v>1752</v>
      </c>
      <c r="F401" t="s">
        <v>1148</v>
      </c>
      <c r="G401" s="55">
        <v>0</v>
      </c>
      <c r="H401" s="55" t="s">
        <v>1816</v>
      </c>
      <c r="J401" s="57" t="e">
        <f>VLOOKUP(C401,'SALARY DETALES'!$B$2:$S$475,18,0)</f>
        <v>#N/A</v>
      </c>
      <c r="L401" s="60" t="e">
        <f>VLOOKUP(C401,'SALARY DETALES'!B400:C873,2,0)</f>
        <v>#N/A</v>
      </c>
      <c r="O401" s="62" t="e">
        <f>VLOOKUP(C401,'SALARY DETALES'!$B$2:$D$475,3,0)</f>
        <v>#N/A</v>
      </c>
      <c r="P401" s="55">
        <v>4350405616445</v>
      </c>
      <c r="Q401" t="s">
        <v>1441</v>
      </c>
    </row>
    <row r="402" spans="2:17" hidden="1" x14ac:dyDescent="0.3">
      <c r="B402" s="55">
        <v>400</v>
      </c>
      <c r="C402" s="55">
        <v>80576</v>
      </c>
      <c r="D402" t="s">
        <v>741</v>
      </c>
      <c r="E402" t="s">
        <v>1753</v>
      </c>
      <c r="F402" t="s">
        <v>878</v>
      </c>
      <c r="G402" s="55">
        <v>0</v>
      </c>
      <c r="H402" s="55" t="s">
        <v>1816</v>
      </c>
      <c r="J402" s="57" t="e">
        <f>VLOOKUP(C402,'SALARY DETALES'!$B$2:$S$475,18,0)</f>
        <v>#N/A</v>
      </c>
      <c r="L402" s="60" t="e">
        <f>VLOOKUP(C402,'SALARY DETALES'!B401:C874,2,0)</f>
        <v>#N/A</v>
      </c>
      <c r="O402" s="62" t="e">
        <f>VLOOKUP(C402,'SALARY DETALES'!$B$2:$D$475,3,0)</f>
        <v>#N/A</v>
      </c>
    </row>
    <row r="403" spans="2:17" hidden="1" x14ac:dyDescent="0.3">
      <c r="B403" s="55">
        <v>401</v>
      </c>
      <c r="C403" s="55">
        <v>80664</v>
      </c>
      <c r="D403" t="s">
        <v>741</v>
      </c>
      <c r="E403" t="s">
        <v>1754</v>
      </c>
      <c r="F403" t="s">
        <v>1442</v>
      </c>
      <c r="G403" s="55">
        <v>0</v>
      </c>
      <c r="H403" s="55" t="s">
        <v>1816</v>
      </c>
      <c r="J403" s="57" t="e">
        <f>VLOOKUP(C403,'SALARY DETALES'!$B$2:$S$475,18,0)</f>
        <v>#N/A</v>
      </c>
      <c r="L403" s="60" t="e">
        <f>VLOOKUP(C403,'SALARY DETALES'!B402:C875,2,0)</f>
        <v>#N/A</v>
      </c>
      <c r="O403" s="62" t="e">
        <f>VLOOKUP(C403,'SALARY DETALES'!$B$2:$D$475,3,0)</f>
        <v>#N/A</v>
      </c>
    </row>
    <row r="404" spans="2:17" hidden="1" x14ac:dyDescent="0.3">
      <c r="B404" s="55">
        <v>402</v>
      </c>
      <c r="C404" s="55">
        <v>80665</v>
      </c>
      <c r="D404" t="s">
        <v>741</v>
      </c>
      <c r="E404" t="s">
        <v>1755</v>
      </c>
      <c r="F404" t="s">
        <v>878</v>
      </c>
      <c r="G404" s="55">
        <v>0</v>
      </c>
      <c r="H404" s="55" t="s">
        <v>1816</v>
      </c>
      <c r="J404" s="57" t="e">
        <f>VLOOKUP(C404,'SALARY DETALES'!$B$2:$S$475,18,0)</f>
        <v>#N/A</v>
      </c>
      <c r="L404" s="60" t="e">
        <f>VLOOKUP(C404,'SALARY DETALES'!B403:C876,2,0)</f>
        <v>#N/A</v>
      </c>
      <c r="O404" s="62" t="e">
        <f>VLOOKUP(C404,'SALARY DETALES'!$B$2:$D$475,3,0)</f>
        <v>#N/A</v>
      </c>
    </row>
    <row r="405" spans="2:17" hidden="1" x14ac:dyDescent="0.3">
      <c r="B405" s="55">
        <v>403</v>
      </c>
      <c r="C405" s="55">
        <v>80666</v>
      </c>
      <c r="D405" t="s">
        <v>741</v>
      </c>
      <c r="E405" t="s">
        <v>1756</v>
      </c>
      <c r="F405" t="s">
        <v>878</v>
      </c>
      <c r="G405" s="55">
        <v>0</v>
      </c>
      <c r="H405" s="55" t="s">
        <v>1816</v>
      </c>
      <c r="J405" s="57" t="e">
        <f>VLOOKUP(C405,'SALARY DETALES'!$B$2:$S$475,18,0)</f>
        <v>#N/A</v>
      </c>
      <c r="L405" s="60" t="e">
        <f>VLOOKUP(C405,'SALARY DETALES'!B404:C877,2,0)</f>
        <v>#N/A</v>
      </c>
      <c r="O405" s="62" t="e">
        <f>VLOOKUP(C405,'SALARY DETALES'!$B$2:$D$475,3,0)</f>
        <v>#N/A</v>
      </c>
    </row>
    <row r="406" spans="2:17" hidden="1" x14ac:dyDescent="0.3">
      <c r="B406" s="55">
        <v>404</v>
      </c>
      <c r="C406" s="55">
        <v>80667</v>
      </c>
      <c r="D406" t="s">
        <v>741</v>
      </c>
      <c r="E406" t="s">
        <v>1757</v>
      </c>
      <c r="F406" t="s">
        <v>878</v>
      </c>
      <c r="G406" s="55">
        <v>0</v>
      </c>
      <c r="H406" s="55" t="s">
        <v>1816</v>
      </c>
      <c r="J406" s="57" t="e">
        <f>VLOOKUP(C406,'SALARY DETALES'!$B$2:$S$475,18,0)</f>
        <v>#N/A</v>
      </c>
      <c r="L406" s="60" t="e">
        <f>VLOOKUP(C406,'SALARY DETALES'!B405:C878,2,0)</f>
        <v>#N/A</v>
      </c>
      <c r="O406" s="62" t="e">
        <f>VLOOKUP(C406,'SALARY DETALES'!$B$2:$D$475,3,0)</f>
        <v>#N/A</v>
      </c>
    </row>
    <row r="407" spans="2:17" hidden="1" x14ac:dyDescent="0.3">
      <c r="B407" s="55">
        <v>405</v>
      </c>
      <c r="C407" s="55">
        <v>80668</v>
      </c>
      <c r="D407" t="s">
        <v>741</v>
      </c>
      <c r="E407" t="s">
        <v>1758</v>
      </c>
      <c r="F407" t="s">
        <v>878</v>
      </c>
      <c r="G407" s="55">
        <v>0</v>
      </c>
      <c r="H407" s="55" t="s">
        <v>1816</v>
      </c>
      <c r="J407" s="57" t="e">
        <f>VLOOKUP(C407,'SALARY DETALES'!$B$2:$S$475,18,0)</f>
        <v>#N/A</v>
      </c>
      <c r="L407" s="60" t="e">
        <f>VLOOKUP(C407,'SALARY DETALES'!B406:C879,2,0)</f>
        <v>#N/A</v>
      </c>
      <c r="O407" s="62" t="e">
        <f>VLOOKUP(C407,'SALARY DETALES'!$B$2:$D$475,3,0)</f>
        <v>#N/A</v>
      </c>
    </row>
    <row r="408" spans="2:17" hidden="1" x14ac:dyDescent="0.3">
      <c r="B408" s="55">
        <v>406</v>
      </c>
      <c r="C408" s="55">
        <v>80669</v>
      </c>
      <c r="D408" t="s">
        <v>741</v>
      </c>
      <c r="E408" t="s">
        <v>1759</v>
      </c>
      <c r="F408" t="s">
        <v>878</v>
      </c>
      <c r="G408" s="55">
        <v>0</v>
      </c>
      <c r="H408" s="55" t="s">
        <v>1816</v>
      </c>
      <c r="J408" s="57" t="e">
        <f>VLOOKUP(C408,'SALARY DETALES'!$B$2:$S$475,18,0)</f>
        <v>#N/A</v>
      </c>
      <c r="L408" s="60" t="e">
        <f>VLOOKUP(C408,'SALARY DETALES'!B407:C880,2,0)</f>
        <v>#N/A</v>
      </c>
      <c r="O408" s="62" t="e">
        <f>VLOOKUP(C408,'SALARY DETALES'!$B$2:$D$475,3,0)</f>
        <v>#N/A</v>
      </c>
    </row>
    <row r="409" spans="2:17" hidden="1" x14ac:dyDescent="0.3">
      <c r="B409" s="55">
        <v>407</v>
      </c>
      <c r="C409" s="55">
        <v>80670</v>
      </c>
      <c r="D409" t="s">
        <v>741</v>
      </c>
      <c r="E409" t="s">
        <v>372</v>
      </c>
      <c r="F409" t="s">
        <v>878</v>
      </c>
      <c r="G409" s="55">
        <v>0</v>
      </c>
      <c r="H409" s="55" t="s">
        <v>1816</v>
      </c>
      <c r="J409" s="57" t="e">
        <f>VLOOKUP(C409,'SALARY DETALES'!$B$2:$S$475,18,0)</f>
        <v>#N/A</v>
      </c>
      <c r="L409" s="60" t="e">
        <f>VLOOKUP(C409,'SALARY DETALES'!B408:C881,2,0)</f>
        <v>#N/A</v>
      </c>
      <c r="O409" s="62" t="e">
        <f>VLOOKUP(C409,'SALARY DETALES'!$B$2:$D$475,3,0)</f>
        <v>#N/A</v>
      </c>
    </row>
    <row r="410" spans="2:17" hidden="1" x14ac:dyDescent="0.3">
      <c r="B410" s="55">
        <v>408</v>
      </c>
      <c r="C410" s="55">
        <v>80671</v>
      </c>
      <c r="D410" t="s">
        <v>741</v>
      </c>
      <c r="E410" t="s">
        <v>1760</v>
      </c>
      <c r="F410" t="s">
        <v>878</v>
      </c>
      <c r="G410" s="55">
        <v>0</v>
      </c>
      <c r="H410" s="55" t="s">
        <v>1816</v>
      </c>
      <c r="J410" s="57" t="e">
        <f>VLOOKUP(C410,'SALARY DETALES'!$B$2:$S$475,18,0)</f>
        <v>#N/A</v>
      </c>
      <c r="L410" s="60" t="e">
        <f>VLOOKUP(C410,'SALARY DETALES'!B409:C882,2,0)</f>
        <v>#N/A</v>
      </c>
      <c r="O410" s="62" t="e">
        <f>VLOOKUP(C410,'SALARY DETALES'!$B$2:$D$475,3,0)</f>
        <v>#N/A</v>
      </c>
    </row>
    <row r="411" spans="2:17" x14ac:dyDescent="0.3">
      <c r="B411" s="55">
        <v>409</v>
      </c>
      <c r="C411" s="55">
        <v>80672</v>
      </c>
      <c r="D411" t="s">
        <v>741</v>
      </c>
      <c r="E411" t="s">
        <v>1761</v>
      </c>
      <c r="F411" t="s">
        <v>1148</v>
      </c>
      <c r="G411" s="55">
        <v>0</v>
      </c>
      <c r="H411" s="55" t="s">
        <v>1816</v>
      </c>
      <c r="J411" s="57">
        <f>VLOOKUP(C411,'SALARY DETALES'!$B$2:$S$475,18,0)</f>
        <v>50000</v>
      </c>
      <c r="L411" s="60" t="e">
        <f>VLOOKUP(C411,'SALARY DETALES'!B410:C883,2,0)</f>
        <v>#N/A</v>
      </c>
      <c r="O411" s="62" t="str">
        <f>VLOOKUP(C411,'SALARY DETALES'!$B$2:$D$475,3,0)</f>
        <v>MANAGER</v>
      </c>
      <c r="Q411" t="s">
        <v>1443</v>
      </c>
    </row>
    <row r="412" spans="2:17" x14ac:dyDescent="0.3">
      <c r="B412" s="55">
        <v>410</v>
      </c>
      <c r="C412" s="55">
        <v>80673</v>
      </c>
      <c r="D412" t="s">
        <v>741</v>
      </c>
      <c r="E412" t="s">
        <v>258</v>
      </c>
      <c r="F412" t="s">
        <v>1148</v>
      </c>
      <c r="G412" s="55">
        <v>0</v>
      </c>
      <c r="H412" s="55" t="s">
        <v>1816</v>
      </c>
      <c r="J412" s="57">
        <f>VLOOKUP(C412,'SALARY DETALES'!$B$2:$S$475,18,0)</f>
        <v>60000</v>
      </c>
      <c r="L412" s="60" t="e">
        <f>VLOOKUP(C412,'SALARY DETALES'!B411:C884,2,0)</f>
        <v>#N/A</v>
      </c>
      <c r="O412" s="62" t="str">
        <f>VLOOKUP(C412,'SALARY DETALES'!$B$2:$D$475,3,0)</f>
        <v>FLOOR MANAGER</v>
      </c>
      <c r="Q412" t="s">
        <v>1444</v>
      </c>
    </row>
    <row r="413" spans="2:17" x14ac:dyDescent="0.3">
      <c r="B413" s="55">
        <v>411</v>
      </c>
      <c r="C413" s="55">
        <v>80674</v>
      </c>
      <c r="D413" t="s">
        <v>741</v>
      </c>
      <c r="E413" t="s">
        <v>227</v>
      </c>
      <c r="F413" t="s">
        <v>1148</v>
      </c>
      <c r="G413" s="55">
        <v>0</v>
      </c>
      <c r="H413" s="55" t="s">
        <v>1816</v>
      </c>
      <c r="J413" s="57">
        <f>VLOOKUP(C413,'SALARY DETALES'!$B$2:$S$475,18,0)</f>
        <v>16000</v>
      </c>
      <c r="L413" s="60" t="e">
        <f>VLOOKUP(C413,'SALARY DETALES'!B412:C885,2,0)</f>
        <v>#N/A</v>
      </c>
      <c r="O413" s="62" t="str">
        <f>VLOOKUP(C413,'SALARY DETALES'!$B$2:$D$475,3,0)</f>
        <v>B/W</v>
      </c>
    </row>
    <row r="414" spans="2:17" x14ac:dyDescent="0.3">
      <c r="B414" s="55">
        <v>412</v>
      </c>
      <c r="C414" s="55">
        <v>80676</v>
      </c>
      <c r="D414" t="s">
        <v>741</v>
      </c>
      <c r="E414" t="s">
        <v>228</v>
      </c>
      <c r="F414" t="s">
        <v>1148</v>
      </c>
      <c r="G414" s="55">
        <v>0</v>
      </c>
      <c r="H414" s="55" t="s">
        <v>1816</v>
      </c>
      <c r="J414" s="57">
        <f>VLOOKUP(C414,'SALARY DETALES'!$B$2:$S$475,18,0)</f>
        <v>16000</v>
      </c>
      <c r="L414" s="60" t="e">
        <f>VLOOKUP(C414,'SALARY DETALES'!B413:C886,2,0)</f>
        <v>#N/A</v>
      </c>
      <c r="O414" s="62" t="str">
        <f>VLOOKUP(C414,'SALARY DETALES'!$B$2:$D$475,3,0)</f>
        <v>B/W</v>
      </c>
    </row>
    <row r="415" spans="2:17" x14ac:dyDescent="0.3">
      <c r="B415" s="55">
        <v>413</v>
      </c>
      <c r="C415" s="55">
        <v>80677</v>
      </c>
      <c r="D415" t="s">
        <v>741</v>
      </c>
      <c r="E415" t="s">
        <v>555</v>
      </c>
      <c r="F415" t="s">
        <v>1445</v>
      </c>
      <c r="G415" s="55">
        <v>0</v>
      </c>
      <c r="H415" s="55" t="s">
        <v>1816</v>
      </c>
      <c r="J415" s="57">
        <f>VLOOKUP(C415,'SALARY DETALES'!$B$2:$S$475,18,0)</f>
        <v>25000</v>
      </c>
      <c r="L415" s="60" t="e">
        <f>VLOOKUP(C415,'SALARY DETALES'!B414:C887,2,0)</f>
        <v>#N/A</v>
      </c>
      <c r="O415" s="62" t="str">
        <f>VLOOKUP(C415,'SALARY DETALES'!$B$2:$D$475,3,0)</f>
        <v>O/T</v>
      </c>
    </row>
    <row r="416" spans="2:17" x14ac:dyDescent="0.3">
      <c r="B416" s="55">
        <v>414</v>
      </c>
      <c r="C416" s="55">
        <v>80678</v>
      </c>
      <c r="D416" t="s">
        <v>741</v>
      </c>
      <c r="E416" t="s">
        <v>556</v>
      </c>
      <c r="F416" t="s">
        <v>1446</v>
      </c>
      <c r="G416" s="55">
        <v>0</v>
      </c>
      <c r="H416" s="55" t="s">
        <v>1816</v>
      </c>
      <c r="J416" s="57">
        <f>VLOOKUP(C416,'SALARY DETALES'!$B$2:$S$475,18,0)</f>
        <v>16000</v>
      </c>
      <c r="L416" s="60" t="e">
        <f>VLOOKUP(C416,'SALARY DETALES'!B415:C888,2,0)</f>
        <v>#N/A</v>
      </c>
      <c r="O416" s="62" t="str">
        <f>VLOOKUP(C416,'SALARY DETALES'!$B$2:$D$475,3,0)</f>
        <v>B/W</v>
      </c>
    </row>
    <row r="417" spans="2:20" x14ac:dyDescent="0.3">
      <c r="B417" s="55">
        <v>415</v>
      </c>
      <c r="C417" s="55">
        <v>80679</v>
      </c>
      <c r="D417" t="s">
        <v>741</v>
      </c>
      <c r="E417" t="s">
        <v>606</v>
      </c>
      <c r="F417" t="s">
        <v>1148</v>
      </c>
      <c r="G417" s="55">
        <v>0</v>
      </c>
      <c r="H417" s="55" t="s">
        <v>1816</v>
      </c>
      <c r="J417" s="57">
        <f>VLOOKUP(C417,'SALARY DETALES'!$B$2:$S$475,18,0)</f>
        <v>16000</v>
      </c>
      <c r="L417" s="60" t="e">
        <f>VLOOKUP(C417,'SALARY DETALES'!B416:C889,2,0)</f>
        <v>#N/A</v>
      </c>
      <c r="O417" s="62" t="str">
        <f>VLOOKUP(C417,'SALARY DETALES'!$B$2:$D$475,3,0)</f>
        <v>B/W</v>
      </c>
    </row>
    <row r="418" spans="2:20" x14ac:dyDescent="0.3">
      <c r="B418" s="55">
        <v>416</v>
      </c>
      <c r="C418" s="55">
        <v>80681</v>
      </c>
      <c r="D418" t="s">
        <v>741</v>
      </c>
      <c r="E418" t="s">
        <v>557</v>
      </c>
      <c r="F418" t="s">
        <v>1148</v>
      </c>
      <c r="G418" s="55">
        <v>0</v>
      </c>
      <c r="H418" s="55" t="s">
        <v>1816</v>
      </c>
      <c r="J418" s="57">
        <f>VLOOKUP(C418,'SALARY DETALES'!$B$2:$S$475,18,0)</f>
        <v>16000</v>
      </c>
      <c r="L418" s="60" t="e">
        <f>VLOOKUP(C418,'SALARY DETALES'!B417:C890,2,0)</f>
        <v>#N/A</v>
      </c>
      <c r="O418" s="62" t="str">
        <f>VLOOKUP(C418,'SALARY DETALES'!$B$2:$D$475,3,0)</f>
        <v>B/W</v>
      </c>
    </row>
    <row r="419" spans="2:20" x14ac:dyDescent="0.3">
      <c r="B419" s="55">
        <v>417</v>
      </c>
      <c r="C419" s="55">
        <v>80682</v>
      </c>
      <c r="D419" t="s">
        <v>741</v>
      </c>
      <c r="E419" t="s">
        <v>230</v>
      </c>
      <c r="F419" t="s">
        <v>1447</v>
      </c>
      <c r="G419" s="55">
        <v>0</v>
      </c>
      <c r="H419" s="55" t="s">
        <v>1816</v>
      </c>
      <c r="J419" s="57">
        <f>VLOOKUP(C419,'SALARY DETALES'!$B$2:$S$475,18,0)</f>
        <v>16000</v>
      </c>
      <c r="L419" s="60" t="e">
        <f>VLOOKUP(C419,'SALARY DETALES'!B418:C891,2,0)</f>
        <v>#N/A</v>
      </c>
      <c r="O419" s="62" t="str">
        <f>VLOOKUP(C419,'SALARY DETALES'!$B$2:$D$475,3,0)</f>
        <v>B/S</v>
      </c>
    </row>
    <row r="420" spans="2:20" x14ac:dyDescent="0.3">
      <c r="B420" s="55">
        <v>418</v>
      </c>
      <c r="C420" s="55">
        <v>80683</v>
      </c>
      <c r="D420" t="s">
        <v>741</v>
      </c>
      <c r="E420" t="s">
        <v>464</v>
      </c>
      <c r="F420" t="s">
        <v>1448</v>
      </c>
      <c r="G420" s="55">
        <v>0</v>
      </c>
      <c r="H420" s="55" t="s">
        <v>1816</v>
      </c>
      <c r="J420" s="57">
        <f>VLOOKUP(C420,'SALARY DETALES'!$B$2:$S$475,18,0)</f>
        <v>16000</v>
      </c>
      <c r="L420" s="60" t="e">
        <f>VLOOKUP(C420,'SALARY DETALES'!B419:C892,2,0)</f>
        <v>#N/A</v>
      </c>
      <c r="O420" s="62" t="str">
        <f>VLOOKUP(C420,'SALARY DETALES'!$B$2:$D$475,3,0)</f>
        <v>Runner</v>
      </c>
    </row>
    <row r="421" spans="2:20" x14ac:dyDescent="0.3">
      <c r="B421" s="55">
        <v>419</v>
      </c>
      <c r="C421" s="55">
        <v>80684</v>
      </c>
      <c r="D421" t="s">
        <v>741</v>
      </c>
      <c r="E421" t="s">
        <v>465</v>
      </c>
      <c r="F421" t="s">
        <v>1448</v>
      </c>
      <c r="G421" s="55">
        <v>0</v>
      </c>
      <c r="H421" s="55" t="s">
        <v>1816</v>
      </c>
      <c r="J421" s="57">
        <f>VLOOKUP(C421,'SALARY DETALES'!$B$2:$S$475,18,0)</f>
        <v>16000</v>
      </c>
      <c r="L421" s="60" t="e">
        <f>VLOOKUP(C421,'SALARY DETALES'!B420:C893,2,0)</f>
        <v>#N/A</v>
      </c>
      <c r="O421" s="62" t="str">
        <f>VLOOKUP(C421,'SALARY DETALES'!$B$2:$D$475,3,0)</f>
        <v>Runner</v>
      </c>
    </row>
    <row r="422" spans="2:20" x14ac:dyDescent="0.3">
      <c r="B422" s="55">
        <v>420</v>
      </c>
      <c r="C422" s="55">
        <v>80685</v>
      </c>
      <c r="D422" t="s">
        <v>741</v>
      </c>
      <c r="E422" t="s">
        <v>466</v>
      </c>
      <c r="F422" t="s">
        <v>1447</v>
      </c>
      <c r="G422" s="55">
        <v>0</v>
      </c>
      <c r="H422" s="55" t="s">
        <v>1816</v>
      </c>
      <c r="J422" s="57">
        <f>VLOOKUP(C422,'SALARY DETALES'!$B$2:$S$475,18,0)</f>
        <v>16000</v>
      </c>
      <c r="L422" s="60" t="e">
        <f>VLOOKUP(C422,'SALARY DETALES'!B421:C894,2,0)</f>
        <v>#N/A</v>
      </c>
      <c r="O422" s="62" t="str">
        <f>VLOOKUP(C422,'SALARY DETALES'!$B$2:$D$475,3,0)</f>
        <v>Runner</v>
      </c>
    </row>
    <row r="423" spans="2:20" x14ac:dyDescent="0.3">
      <c r="B423" s="55">
        <v>421</v>
      </c>
      <c r="C423" s="55">
        <v>80686</v>
      </c>
      <c r="D423" t="s">
        <v>741</v>
      </c>
      <c r="E423" t="s">
        <v>467</v>
      </c>
      <c r="F423" t="s">
        <v>1148</v>
      </c>
      <c r="G423" s="55">
        <v>0</v>
      </c>
      <c r="H423" s="55" t="s">
        <v>1816</v>
      </c>
      <c r="J423" s="57">
        <f>VLOOKUP(C423,'SALARY DETALES'!$B$2:$S$475,18,0)</f>
        <v>16000</v>
      </c>
      <c r="L423" s="60" t="e">
        <f>VLOOKUP(C423,'SALARY DETALES'!B422:C895,2,0)</f>
        <v>#N/A</v>
      </c>
      <c r="O423" s="62" t="str">
        <f>VLOOKUP(C423,'SALARY DETALES'!$B$2:$D$475,3,0)</f>
        <v>RUNNER</v>
      </c>
    </row>
    <row r="424" spans="2:20" hidden="1" x14ac:dyDescent="0.3">
      <c r="B424" s="55">
        <v>422</v>
      </c>
      <c r="C424" s="55">
        <v>80687</v>
      </c>
      <c r="D424" t="s">
        <v>741</v>
      </c>
      <c r="E424" t="s">
        <v>1762</v>
      </c>
      <c r="F424" t="s">
        <v>1449</v>
      </c>
      <c r="G424" s="55">
        <v>140</v>
      </c>
      <c r="H424" s="55" t="s">
        <v>1817</v>
      </c>
      <c r="J424" s="57" t="e">
        <f>VLOOKUP(C424,'SALARY DETALES'!$B$2:$S$475,18,0)</f>
        <v>#N/A</v>
      </c>
      <c r="L424" s="60" t="e">
        <f>VLOOKUP(C424,'SALARY DETALES'!B423:C896,2,0)</f>
        <v>#N/A</v>
      </c>
      <c r="O424" s="62" t="e">
        <f>VLOOKUP(C424,'SALARY DETALES'!$B$2:$D$475,3,0)</f>
        <v>#N/A</v>
      </c>
      <c r="T424" t="s">
        <v>1450</v>
      </c>
    </row>
    <row r="425" spans="2:20" x14ac:dyDescent="0.3">
      <c r="B425" s="55">
        <v>423</v>
      </c>
      <c r="C425" s="55">
        <v>80688</v>
      </c>
      <c r="D425" t="s">
        <v>741</v>
      </c>
      <c r="E425" t="s">
        <v>582</v>
      </c>
      <c r="F425" t="s">
        <v>1451</v>
      </c>
      <c r="G425" s="55">
        <v>0</v>
      </c>
      <c r="H425" s="55" t="s">
        <v>1816</v>
      </c>
      <c r="J425" s="57">
        <f>VLOOKUP(C425,'SALARY DETALES'!$B$2:$S$475,18,0)</f>
        <v>16000</v>
      </c>
      <c r="L425" s="60" t="e">
        <f>VLOOKUP(C425,'SALARY DETALES'!B424:C897,2,0)</f>
        <v>#N/A</v>
      </c>
      <c r="O425" s="62" t="str">
        <f>VLOOKUP(C425,'SALARY DETALES'!$B$2:$D$475,3,0)</f>
        <v>B/W</v>
      </c>
    </row>
    <row r="426" spans="2:20" x14ac:dyDescent="0.3">
      <c r="B426" s="55">
        <v>424</v>
      </c>
      <c r="C426" s="55">
        <v>80689</v>
      </c>
      <c r="D426" t="s">
        <v>741</v>
      </c>
      <c r="E426" t="s">
        <v>231</v>
      </c>
      <c r="F426" t="s">
        <v>1451</v>
      </c>
      <c r="G426" s="55">
        <v>0</v>
      </c>
      <c r="H426" s="55" t="s">
        <v>1816</v>
      </c>
      <c r="J426" s="57">
        <f>VLOOKUP(C426,'SALARY DETALES'!$B$2:$S$475,18,0)</f>
        <v>16000</v>
      </c>
      <c r="L426" s="60" t="e">
        <f>VLOOKUP(C426,'SALARY DETALES'!B425:C898,2,0)</f>
        <v>#N/A</v>
      </c>
      <c r="O426" s="62" t="str">
        <f>VLOOKUP(C426,'SALARY DETALES'!$B$2:$D$475,3,0)</f>
        <v>B/W</v>
      </c>
    </row>
    <row r="427" spans="2:20" x14ac:dyDescent="0.3">
      <c r="B427" s="55">
        <v>425</v>
      </c>
      <c r="C427" s="55">
        <v>80690</v>
      </c>
      <c r="D427" t="s">
        <v>741</v>
      </c>
      <c r="E427" t="s">
        <v>173</v>
      </c>
      <c r="F427" t="s">
        <v>1451</v>
      </c>
      <c r="G427" s="55">
        <v>0</v>
      </c>
      <c r="H427" s="55" t="s">
        <v>1816</v>
      </c>
      <c r="J427" s="57">
        <f>VLOOKUP(C427,'SALARY DETALES'!$B$2:$S$475,18,0)</f>
        <v>16000</v>
      </c>
      <c r="L427" s="60" t="e">
        <f>VLOOKUP(C427,'SALARY DETALES'!B426:C899,2,0)</f>
        <v>#N/A</v>
      </c>
      <c r="O427" s="62" t="str">
        <f>VLOOKUP(C427,'SALARY DETALES'!$B$2:$D$475,3,0)</f>
        <v>B/W</v>
      </c>
    </row>
    <row r="428" spans="2:20" x14ac:dyDescent="0.3">
      <c r="B428" s="55">
        <v>426</v>
      </c>
      <c r="C428" s="55">
        <v>80691</v>
      </c>
      <c r="D428" t="s">
        <v>741</v>
      </c>
      <c r="E428" t="s">
        <v>520</v>
      </c>
      <c r="F428" t="s">
        <v>1452</v>
      </c>
      <c r="G428" s="55">
        <v>0</v>
      </c>
      <c r="H428" s="55" t="s">
        <v>1816</v>
      </c>
      <c r="J428" s="57">
        <f>VLOOKUP(C428,'SALARY DETALES'!$B$2:$S$475,18,0)</f>
        <v>25000</v>
      </c>
      <c r="L428" s="60" t="e">
        <f>VLOOKUP(C428,'SALARY DETALES'!B427:C900,2,0)</f>
        <v>#N/A</v>
      </c>
      <c r="O428" s="62" t="str">
        <f>VLOOKUP(C428,'SALARY DETALES'!$B$2:$D$475,3,0)</f>
        <v>O/T</v>
      </c>
      <c r="P428" t="s">
        <v>1453</v>
      </c>
    </row>
    <row r="429" spans="2:20" x14ac:dyDescent="0.3">
      <c r="B429" s="55">
        <v>427</v>
      </c>
      <c r="C429" s="55">
        <v>80692</v>
      </c>
      <c r="D429" t="s">
        <v>741</v>
      </c>
      <c r="E429" t="s">
        <v>477</v>
      </c>
      <c r="F429" t="s">
        <v>1452</v>
      </c>
      <c r="G429" s="55">
        <v>0</v>
      </c>
      <c r="H429" s="55" t="s">
        <v>1816</v>
      </c>
      <c r="J429" s="57">
        <f>VLOOKUP(C429,'SALARY DETALES'!$B$2:$S$475,18,0)</f>
        <v>35000</v>
      </c>
      <c r="L429" s="60" t="e">
        <f>VLOOKUP(C429,'SALARY DETALES'!B428:C901,2,0)</f>
        <v>#N/A</v>
      </c>
      <c r="O429" s="62" t="str">
        <f>VLOOKUP(C429,'SALARY DETALES'!$B$2:$D$475,3,0)</f>
        <v>COMIC</v>
      </c>
      <c r="T429" t="s">
        <v>1454</v>
      </c>
    </row>
    <row r="430" spans="2:20" x14ac:dyDescent="0.3">
      <c r="B430" s="55">
        <v>428</v>
      </c>
      <c r="C430" s="55">
        <v>80693</v>
      </c>
      <c r="D430" t="s">
        <v>741</v>
      </c>
      <c r="E430" t="s">
        <v>558</v>
      </c>
      <c r="F430" t="s">
        <v>1452</v>
      </c>
      <c r="G430" s="55">
        <v>0</v>
      </c>
      <c r="H430" s="55" t="s">
        <v>1816</v>
      </c>
      <c r="J430" s="57">
        <f>VLOOKUP(C430,'SALARY DETALES'!$B$2:$S$475,18,0)</f>
        <v>25000</v>
      </c>
      <c r="L430" s="60" t="e">
        <f>VLOOKUP(C430,'SALARY DETALES'!B429:C902,2,0)</f>
        <v>#N/A</v>
      </c>
      <c r="O430" s="62" t="str">
        <f>VLOOKUP(C430,'SALARY DETALES'!$B$2:$D$475,3,0)</f>
        <v>O/T</v>
      </c>
    </row>
    <row r="431" spans="2:20" x14ac:dyDescent="0.3">
      <c r="B431" s="55">
        <v>429</v>
      </c>
      <c r="C431" s="55">
        <v>80694</v>
      </c>
      <c r="D431" t="s">
        <v>741</v>
      </c>
      <c r="E431" t="s">
        <v>559</v>
      </c>
      <c r="F431" t="s">
        <v>1455</v>
      </c>
      <c r="G431" s="55">
        <v>0</v>
      </c>
      <c r="H431" s="55" t="s">
        <v>1816</v>
      </c>
      <c r="J431" s="57">
        <f>VLOOKUP(C431,'SALARY DETALES'!$B$2:$S$475,18,0)</f>
        <v>22000</v>
      </c>
      <c r="L431" s="60" t="e">
        <f>VLOOKUP(C431,'SALARY DETALES'!B430:C903,2,0)</f>
        <v>#N/A</v>
      </c>
      <c r="O431" s="62" t="str">
        <f>VLOOKUP(C431,'SALARY DETALES'!$B$2:$D$475,3,0)</f>
        <v>O/T</v>
      </c>
    </row>
    <row r="432" spans="2:20" hidden="1" x14ac:dyDescent="0.3">
      <c r="B432" s="55">
        <v>430</v>
      </c>
      <c r="C432" s="55">
        <v>80695</v>
      </c>
      <c r="D432" t="s">
        <v>741</v>
      </c>
      <c r="E432" t="s">
        <v>1763</v>
      </c>
      <c r="F432" t="s">
        <v>1452</v>
      </c>
      <c r="G432" s="55">
        <v>0</v>
      </c>
      <c r="H432" s="55" t="s">
        <v>1816</v>
      </c>
      <c r="J432" s="57" t="e">
        <f>VLOOKUP(C432,'SALARY DETALES'!$B$2:$S$475,18,0)</f>
        <v>#N/A</v>
      </c>
      <c r="L432" s="60" t="e">
        <f>VLOOKUP(C432,'SALARY DETALES'!B431:C904,2,0)</f>
        <v>#N/A</v>
      </c>
      <c r="O432" s="62" t="e">
        <f>VLOOKUP(C432,'SALARY DETALES'!$B$2:$D$475,3,0)</f>
        <v>#N/A</v>
      </c>
    </row>
    <row r="433" spans="2:20" hidden="1" x14ac:dyDescent="0.3">
      <c r="B433" s="55">
        <v>431</v>
      </c>
      <c r="C433" s="55">
        <v>80696</v>
      </c>
      <c r="D433" t="s">
        <v>741</v>
      </c>
      <c r="E433" t="s">
        <v>459</v>
      </c>
      <c r="F433" t="s">
        <v>1456</v>
      </c>
      <c r="G433" s="55">
        <v>0</v>
      </c>
      <c r="H433" s="55" t="s">
        <v>1816</v>
      </c>
      <c r="J433" s="57" t="e">
        <f>VLOOKUP(C433,'SALARY DETALES'!$B$2:$S$475,18,0)</f>
        <v>#N/A</v>
      </c>
      <c r="L433" s="60" t="e">
        <f>VLOOKUP(C433,'SALARY DETALES'!B432:C905,2,0)</f>
        <v>#N/A</v>
      </c>
      <c r="O433" s="62" t="e">
        <f>VLOOKUP(C433,'SALARY DETALES'!$B$2:$D$475,3,0)</f>
        <v>#N/A</v>
      </c>
    </row>
    <row r="434" spans="2:20" hidden="1" x14ac:dyDescent="0.3">
      <c r="B434" s="55">
        <v>432</v>
      </c>
      <c r="C434" s="55">
        <v>80697</v>
      </c>
      <c r="D434" t="s">
        <v>741</v>
      </c>
      <c r="E434" t="s">
        <v>1764</v>
      </c>
      <c r="F434" t="s">
        <v>1457</v>
      </c>
      <c r="G434" s="55">
        <v>0</v>
      </c>
      <c r="H434" s="55" t="s">
        <v>1816</v>
      </c>
      <c r="J434" s="57" t="e">
        <f>VLOOKUP(C434,'SALARY DETALES'!$B$2:$S$475,18,0)</f>
        <v>#N/A</v>
      </c>
      <c r="L434" s="60" t="e">
        <f>VLOOKUP(C434,'SALARY DETALES'!B433:C906,2,0)</f>
        <v>#N/A</v>
      </c>
      <c r="O434" s="62" t="e">
        <f>VLOOKUP(C434,'SALARY DETALES'!$B$2:$D$475,3,0)</f>
        <v>#N/A</v>
      </c>
    </row>
    <row r="435" spans="2:20" x14ac:dyDescent="0.3">
      <c r="B435" s="55">
        <v>433</v>
      </c>
      <c r="C435" s="55">
        <v>80698</v>
      </c>
      <c r="D435" t="s">
        <v>741</v>
      </c>
      <c r="E435" t="s">
        <v>594</v>
      </c>
      <c r="F435" t="s">
        <v>1457</v>
      </c>
      <c r="G435" s="55">
        <v>0</v>
      </c>
      <c r="H435" s="55" t="s">
        <v>1816</v>
      </c>
      <c r="J435" s="57">
        <f>VLOOKUP(C435,'SALARY DETALES'!$B$2:$S$475,18,0)</f>
        <v>16000</v>
      </c>
      <c r="L435" s="60" t="e">
        <f>VLOOKUP(C435,'SALARY DETALES'!B434:C907,2,0)</f>
        <v>#N/A</v>
      </c>
      <c r="O435" s="62" t="str">
        <f>VLOOKUP(C435,'SALARY DETALES'!$B$2:$D$475,3,0)</f>
        <v>B/W</v>
      </c>
    </row>
    <row r="436" spans="2:20" x14ac:dyDescent="0.3">
      <c r="B436" s="55">
        <v>434</v>
      </c>
      <c r="C436" s="55">
        <v>80699</v>
      </c>
      <c r="D436" t="s">
        <v>741</v>
      </c>
      <c r="E436" t="s">
        <v>595</v>
      </c>
      <c r="F436" t="s">
        <v>1451</v>
      </c>
      <c r="G436" s="55">
        <v>0</v>
      </c>
      <c r="H436" s="55" t="s">
        <v>1816</v>
      </c>
      <c r="J436" s="57">
        <f>VLOOKUP(C436,'SALARY DETALES'!$B$2:$S$475,18,0)</f>
        <v>16000</v>
      </c>
      <c r="L436" s="60" t="e">
        <f>VLOOKUP(C436,'SALARY DETALES'!B435:C908,2,0)</f>
        <v>#N/A</v>
      </c>
      <c r="O436" s="62" t="str">
        <f>VLOOKUP(C436,'SALARY DETALES'!$B$2:$D$475,3,0)</f>
        <v>B/W</v>
      </c>
    </row>
    <row r="437" spans="2:20" x14ac:dyDescent="0.3">
      <c r="B437" s="55">
        <v>435</v>
      </c>
      <c r="C437" s="55">
        <v>80700</v>
      </c>
      <c r="D437" t="s">
        <v>741</v>
      </c>
      <c r="E437" t="s">
        <v>521</v>
      </c>
      <c r="F437" t="s">
        <v>1455</v>
      </c>
      <c r="G437" s="55">
        <v>0</v>
      </c>
      <c r="H437" s="55" t="s">
        <v>1816</v>
      </c>
      <c r="J437" s="57">
        <f>VLOOKUP(C437,'SALARY DETALES'!$B$2:$S$475,18,0)</f>
        <v>16000</v>
      </c>
      <c r="L437" s="60" t="e">
        <f>VLOOKUP(C437,'SALARY DETALES'!B436:C909,2,0)</f>
        <v>#N/A</v>
      </c>
      <c r="O437" s="62" t="str">
        <f>VLOOKUP(C437,'SALARY DETALES'!$B$2:$D$475,3,0)</f>
        <v>B/W</v>
      </c>
    </row>
    <row r="438" spans="2:20" x14ac:dyDescent="0.3">
      <c r="B438" s="55">
        <v>436</v>
      </c>
      <c r="C438" s="55">
        <v>80701</v>
      </c>
      <c r="D438" t="s">
        <v>741</v>
      </c>
      <c r="E438" t="s">
        <v>501</v>
      </c>
      <c r="F438" t="s">
        <v>1456</v>
      </c>
      <c r="G438" s="55">
        <v>0</v>
      </c>
      <c r="H438" s="55" t="s">
        <v>1816</v>
      </c>
      <c r="J438" s="57">
        <f>VLOOKUP(C438,'SALARY DETALES'!$B$2:$S$475,18,0)</f>
        <v>24000</v>
      </c>
      <c r="L438" s="60" t="e">
        <f>VLOOKUP(C438,'SALARY DETALES'!B437:C910,2,0)</f>
        <v>#N/A</v>
      </c>
      <c r="O438" s="62" t="str">
        <f>VLOOKUP(C438,'SALARY DETALES'!$B$2:$D$475,3,0)</f>
        <v>O/T</v>
      </c>
    </row>
    <row r="439" spans="2:20" x14ac:dyDescent="0.3">
      <c r="B439" s="55">
        <v>437</v>
      </c>
      <c r="C439" s="55">
        <v>80702</v>
      </c>
      <c r="D439" t="s">
        <v>741</v>
      </c>
      <c r="E439" t="s">
        <v>560</v>
      </c>
      <c r="F439" t="s">
        <v>1458</v>
      </c>
      <c r="G439" s="55">
        <v>0</v>
      </c>
      <c r="H439" s="55" t="s">
        <v>1816</v>
      </c>
      <c r="J439" s="57">
        <f>VLOOKUP(C439,'SALARY DETALES'!$B$2:$S$475,18,0)</f>
        <v>16000</v>
      </c>
      <c r="L439" s="60" t="e">
        <f>VLOOKUP(C439,'SALARY DETALES'!B438:C911,2,0)</f>
        <v>#N/A</v>
      </c>
      <c r="O439" s="62" t="str">
        <f>VLOOKUP(C439,'SALARY DETALES'!$B$2:$D$475,3,0)</f>
        <v>B/W</v>
      </c>
    </row>
    <row r="440" spans="2:20" x14ac:dyDescent="0.3">
      <c r="B440" s="55">
        <v>438</v>
      </c>
      <c r="C440" s="55">
        <v>80703</v>
      </c>
      <c r="D440" t="s">
        <v>741</v>
      </c>
      <c r="E440" t="s">
        <v>420</v>
      </c>
      <c r="F440" t="s">
        <v>1458</v>
      </c>
      <c r="G440" s="55">
        <v>0</v>
      </c>
      <c r="H440" s="55" t="s">
        <v>1816</v>
      </c>
      <c r="J440" s="57">
        <f>VLOOKUP(C440,'SALARY DETALES'!$B$2:$S$475,18,0)</f>
        <v>24000</v>
      </c>
      <c r="L440" s="60" t="e">
        <f>VLOOKUP(C440,'SALARY DETALES'!B439:C912,2,0)</f>
        <v>#N/A</v>
      </c>
      <c r="O440" s="62" t="str">
        <f>VLOOKUP(C440,'SALARY DETALES'!$B$2:$D$475,3,0)</f>
        <v>O/T</v>
      </c>
    </row>
    <row r="441" spans="2:20" x14ac:dyDescent="0.3">
      <c r="B441" s="55">
        <v>439</v>
      </c>
      <c r="C441" s="55">
        <v>80706</v>
      </c>
      <c r="D441" t="s">
        <v>741</v>
      </c>
      <c r="E441" t="s">
        <v>367</v>
      </c>
      <c r="F441" t="s">
        <v>1446</v>
      </c>
      <c r="G441" s="55">
        <v>0</v>
      </c>
      <c r="H441" s="55" t="s">
        <v>1816</v>
      </c>
      <c r="J441" s="57">
        <f>VLOOKUP(C441,'SALARY DETALES'!$B$2:$S$475,18,0)</f>
        <v>25000</v>
      </c>
      <c r="L441" s="60" t="e">
        <f>VLOOKUP(C441,'SALARY DETALES'!B440:C913,2,0)</f>
        <v>#N/A</v>
      </c>
      <c r="O441" s="62" t="str">
        <f>VLOOKUP(C441,'SALARY DETALES'!$B$2:$D$475,3,0)</f>
        <v>OT</v>
      </c>
      <c r="P441" t="s">
        <v>1459</v>
      </c>
      <c r="Q441" t="s">
        <v>1460</v>
      </c>
    </row>
    <row r="442" spans="2:20" x14ac:dyDescent="0.3">
      <c r="B442" s="55">
        <v>440</v>
      </c>
      <c r="C442" s="55">
        <v>80707</v>
      </c>
      <c r="D442" t="s">
        <v>741</v>
      </c>
      <c r="E442" t="s">
        <v>607</v>
      </c>
      <c r="F442" t="s">
        <v>1449</v>
      </c>
      <c r="G442" s="55">
        <v>0</v>
      </c>
      <c r="H442" s="55" t="s">
        <v>1816</v>
      </c>
      <c r="J442" s="57">
        <f>VLOOKUP(C442,'SALARY DETALES'!$B$2:$S$475,18,0)</f>
        <v>22000</v>
      </c>
      <c r="L442" s="60" t="e">
        <f>VLOOKUP(C442,'SALARY DETALES'!B441:C914,2,0)</f>
        <v>#N/A</v>
      </c>
      <c r="O442" s="62" t="str">
        <f>VLOOKUP(C442,'SALARY DETALES'!$B$2:$D$475,3,0)</f>
        <v>B/W</v>
      </c>
    </row>
    <row r="443" spans="2:20" x14ac:dyDescent="0.3">
      <c r="B443" s="55">
        <v>441</v>
      </c>
      <c r="C443" s="55">
        <v>80708</v>
      </c>
      <c r="D443" t="s">
        <v>741</v>
      </c>
      <c r="E443" t="s">
        <v>608</v>
      </c>
      <c r="F443" t="s">
        <v>1449</v>
      </c>
      <c r="G443" s="55">
        <v>0</v>
      </c>
      <c r="H443" s="55" t="s">
        <v>1816</v>
      </c>
      <c r="J443" s="57">
        <f>VLOOKUP(C443,'SALARY DETALES'!$B$2:$S$475,18,0)</f>
        <v>25000</v>
      </c>
      <c r="L443" s="60" t="e">
        <f>VLOOKUP(C443,'SALARY DETALES'!B442:C915,2,0)</f>
        <v>#N/A</v>
      </c>
      <c r="O443" s="62" t="str">
        <f>VLOOKUP(C443,'SALARY DETALES'!$B$2:$D$475,3,0)</f>
        <v>O/T</v>
      </c>
      <c r="T443" t="s">
        <v>1461</v>
      </c>
    </row>
    <row r="444" spans="2:20" x14ac:dyDescent="0.3">
      <c r="B444" s="55">
        <v>442</v>
      </c>
      <c r="C444" s="55">
        <v>80709</v>
      </c>
      <c r="D444" t="s">
        <v>741</v>
      </c>
      <c r="E444" t="s">
        <v>522</v>
      </c>
      <c r="F444" t="s">
        <v>1455</v>
      </c>
      <c r="G444" s="55">
        <v>0</v>
      </c>
      <c r="H444" s="55" t="s">
        <v>1816</v>
      </c>
      <c r="J444" s="57">
        <f>VLOOKUP(C444,'SALARY DETALES'!$B$2:$S$475,18,0)</f>
        <v>16000</v>
      </c>
      <c r="L444" s="60" t="e">
        <f>VLOOKUP(C444,'SALARY DETALES'!B443:C916,2,0)</f>
        <v>#N/A</v>
      </c>
      <c r="O444" s="62" t="str">
        <f>VLOOKUP(C444,'SALARY DETALES'!$B$2:$D$475,3,0)</f>
        <v>B/W</v>
      </c>
    </row>
    <row r="445" spans="2:20" x14ac:dyDescent="0.3">
      <c r="B445" s="55">
        <v>443</v>
      </c>
      <c r="C445" s="55">
        <v>80710</v>
      </c>
      <c r="D445" t="s">
        <v>741</v>
      </c>
      <c r="E445" t="s">
        <v>421</v>
      </c>
      <c r="F445" t="s">
        <v>1452</v>
      </c>
      <c r="G445" s="55">
        <v>0</v>
      </c>
      <c r="H445" s="55" t="s">
        <v>1816</v>
      </c>
      <c r="J445" s="57">
        <f>VLOOKUP(C445,'SALARY DETALES'!$B$2:$S$475,18,0)</f>
        <v>25000</v>
      </c>
      <c r="L445" s="60" t="e">
        <f>VLOOKUP(C445,'SALARY DETALES'!B444:C917,2,0)</f>
        <v>#N/A</v>
      </c>
      <c r="O445" s="62" t="str">
        <f>VLOOKUP(C445,'SALARY DETALES'!$B$2:$D$475,3,0)</f>
        <v>O/T</v>
      </c>
    </row>
    <row r="446" spans="2:20" x14ac:dyDescent="0.3">
      <c r="B446" s="55">
        <v>444</v>
      </c>
      <c r="C446" s="55">
        <v>80711</v>
      </c>
      <c r="D446" t="s">
        <v>741</v>
      </c>
      <c r="E446" t="s">
        <v>468</v>
      </c>
      <c r="F446" t="s">
        <v>1148</v>
      </c>
      <c r="G446" s="55">
        <v>0</v>
      </c>
      <c r="H446" s="55" t="s">
        <v>1816</v>
      </c>
      <c r="J446" s="57">
        <f>VLOOKUP(C446,'SALARY DETALES'!$B$2:$S$475,18,0)</f>
        <v>16000</v>
      </c>
      <c r="L446" s="60" t="e">
        <f>VLOOKUP(C446,'SALARY DETALES'!B445:C918,2,0)</f>
        <v>#N/A</v>
      </c>
      <c r="O446" s="62" t="str">
        <f>VLOOKUP(C446,'SALARY DETALES'!$B$2:$D$475,3,0)</f>
        <v>Runner</v>
      </c>
    </row>
    <row r="447" spans="2:20" x14ac:dyDescent="0.3">
      <c r="B447" s="55">
        <v>445</v>
      </c>
      <c r="C447" s="55">
        <v>80712</v>
      </c>
      <c r="D447" t="s">
        <v>741</v>
      </c>
      <c r="E447" t="s">
        <v>307</v>
      </c>
      <c r="F447" t="s">
        <v>1449</v>
      </c>
      <c r="G447" s="55">
        <v>345</v>
      </c>
      <c r="H447" s="55" t="s">
        <v>1817</v>
      </c>
      <c r="J447" s="57">
        <f>VLOOKUP(C447,'SALARY DETALES'!$B$2:$S$475,18,0)</f>
        <v>25000</v>
      </c>
      <c r="L447" s="60" t="e">
        <f>VLOOKUP(C447,'SALARY DETALES'!B446:C919,2,0)</f>
        <v>#N/A</v>
      </c>
      <c r="O447" s="62" t="str">
        <f>VLOOKUP(C447,'SALARY DETALES'!$B$2:$D$475,3,0)</f>
        <v>RECEPTION</v>
      </c>
      <c r="Q447" t="s">
        <v>1462</v>
      </c>
    </row>
    <row r="448" spans="2:20" x14ac:dyDescent="0.3">
      <c r="B448" s="55">
        <v>446</v>
      </c>
      <c r="C448" s="55">
        <v>80713</v>
      </c>
      <c r="D448" t="s">
        <v>741</v>
      </c>
      <c r="E448" t="s">
        <v>363</v>
      </c>
      <c r="F448" t="s">
        <v>1449</v>
      </c>
      <c r="G448" s="55">
        <v>0</v>
      </c>
      <c r="H448" s="55" t="s">
        <v>1816</v>
      </c>
      <c r="J448" s="57">
        <f>VLOOKUP(C448,'SALARY DETALES'!$B$2:$S$475,18,0)</f>
        <v>16000</v>
      </c>
      <c r="L448" s="60" t="e">
        <f>VLOOKUP(C448,'SALARY DETALES'!B447:C920,2,0)</f>
        <v>#N/A</v>
      </c>
      <c r="O448" s="62" t="str">
        <f>VLOOKUP(C448,'SALARY DETALES'!$B$2:$D$475,3,0)</f>
        <v>B/W</v>
      </c>
    </row>
    <row r="449" spans="2:20" x14ac:dyDescent="0.3">
      <c r="B449" s="55">
        <v>447</v>
      </c>
      <c r="C449" s="55">
        <v>80714</v>
      </c>
      <c r="D449" t="s">
        <v>741</v>
      </c>
      <c r="E449" t="s">
        <v>275</v>
      </c>
      <c r="F449" t="s">
        <v>1456</v>
      </c>
      <c r="G449" s="55">
        <v>0</v>
      </c>
      <c r="H449" s="55" t="s">
        <v>1816</v>
      </c>
      <c r="J449" s="57">
        <f>VLOOKUP(C449,'SALARY DETALES'!$B$2:$S$475,18,0)</f>
        <v>16000</v>
      </c>
      <c r="L449" s="60" t="e">
        <f>VLOOKUP(C449,'SALARY DETALES'!B448:C921,2,0)</f>
        <v>#N/A</v>
      </c>
      <c r="O449" s="62" t="str">
        <f>VLOOKUP(C449,'SALARY DETALES'!$B$2:$D$475,3,0)</f>
        <v>WIPPING</v>
      </c>
    </row>
    <row r="450" spans="2:20" x14ac:dyDescent="0.3">
      <c r="B450" s="55">
        <v>448</v>
      </c>
      <c r="C450" s="55">
        <v>80715</v>
      </c>
      <c r="D450" t="s">
        <v>741</v>
      </c>
      <c r="E450" t="s">
        <v>331</v>
      </c>
      <c r="F450" t="s">
        <v>1447</v>
      </c>
      <c r="G450" s="55">
        <v>0</v>
      </c>
      <c r="H450" s="55" t="s">
        <v>1816</v>
      </c>
      <c r="J450" s="57">
        <f>VLOOKUP(C450,'SALARY DETALES'!$B$2:$S$475,18,0)</f>
        <v>25000</v>
      </c>
      <c r="L450" s="60" t="e">
        <f>VLOOKUP(C450,'SALARY DETALES'!B449:C922,2,0)</f>
        <v>#N/A</v>
      </c>
      <c r="O450" s="62" t="str">
        <f>VLOOKUP(C450,'SALARY DETALES'!$B$2:$D$475,3,0)</f>
        <v>CCTV ASSISTANT</v>
      </c>
      <c r="P450" t="s">
        <v>1463</v>
      </c>
      <c r="Q450" t="s">
        <v>1464</v>
      </c>
    </row>
    <row r="451" spans="2:20" x14ac:dyDescent="0.3">
      <c r="B451" s="55">
        <v>449</v>
      </c>
      <c r="C451" s="55">
        <v>80716</v>
      </c>
      <c r="D451" t="s">
        <v>741</v>
      </c>
      <c r="E451" t="s">
        <v>233</v>
      </c>
      <c r="F451" t="s">
        <v>1457</v>
      </c>
      <c r="G451" s="55">
        <v>0</v>
      </c>
      <c r="H451" s="55" t="s">
        <v>1816</v>
      </c>
      <c r="J451" s="57">
        <f>VLOOKUP(C451,'SALARY DETALES'!$B$2:$S$475,18,0)</f>
        <v>16000</v>
      </c>
      <c r="L451" s="60" t="e">
        <f>VLOOKUP(C451,'SALARY DETALES'!B450:C923,2,0)</f>
        <v>#N/A</v>
      </c>
      <c r="O451" s="62" t="str">
        <f>VLOOKUP(C451,'SALARY DETALES'!$B$2:$D$475,3,0)</f>
        <v>BW/PATIO</v>
      </c>
      <c r="P451" t="s">
        <v>1465</v>
      </c>
      <c r="Q451" t="s">
        <v>1466</v>
      </c>
    </row>
    <row r="452" spans="2:20" x14ac:dyDescent="0.3">
      <c r="B452" s="55">
        <v>450</v>
      </c>
      <c r="C452" s="55">
        <v>80717</v>
      </c>
      <c r="D452" t="s">
        <v>741</v>
      </c>
      <c r="E452" t="s">
        <v>561</v>
      </c>
      <c r="F452" t="s">
        <v>1446</v>
      </c>
      <c r="G452" s="55">
        <v>0</v>
      </c>
      <c r="H452" s="55" t="s">
        <v>1816</v>
      </c>
      <c r="J452" s="57">
        <f>VLOOKUP(C452,'SALARY DETALES'!$B$2:$S$475,18,0)</f>
        <v>16000</v>
      </c>
      <c r="L452" s="60" t="e">
        <f>VLOOKUP(C452,'SALARY DETALES'!B451:C924,2,0)</f>
        <v>#N/A</v>
      </c>
      <c r="O452" s="62" t="str">
        <f>VLOOKUP(C452,'SALARY DETALES'!$B$2:$D$475,3,0)</f>
        <v>BW/B</v>
      </c>
      <c r="P452" t="s">
        <v>1467</v>
      </c>
      <c r="Q452" t="s">
        <v>1468</v>
      </c>
    </row>
    <row r="453" spans="2:20" x14ac:dyDescent="0.3">
      <c r="B453" s="55">
        <v>451</v>
      </c>
      <c r="C453" s="55">
        <v>80718</v>
      </c>
      <c r="D453" t="s">
        <v>741</v>
      </c>
      <c r="E453" t="s">
        <v>452</v>
      </c>
      <c r="F453" t="s">
        <v>1447</v>
      </c>
      <c r="G453" s="55">
        <v>0</v>
      </c>
      <c r="H453" s="55" t="s">
        <v>1816</v>
      </c>
      <c r="J453" s="57">
        <f>VLOOKUP(C453,'SALARY DETALES'!$B$2:$S$475,18,0)</f>
        <v>16000</v>
      </c>
      <c r="L453" s="60" t="e">
        <f>VLOOKUP(C453,'SALARY DETALES'!B452:C925,2,0)</f>
        <v>#N/A</v>
      </c>
      <c r="O453" s="62" t="str">
        <f>VLOOKUP(C453,'SALARY DETALES'!$B$2:$D$475,3,0)</f>
        <v>RUNNER</v>
      </c>
      <c r="P453" t="s">
        <v>1469</v>
      </c>
      <c r="Q453" t="s">
        <v>1470</v>
      </c>
    </row>
    <row r="454" spans="2:20" x14ac:dyDescent="0.3">
      <c r="B454" s="55">
        <v>452</v>
      </c>
      <c r="C454" s="55">
        <v>80719</v>
      </c>
      <c r="D454" t="s">
        <v>741</v>
      </c>
      <c r="E454" t="s">
        <v>548</v>
      </c>
      <c r="F454" t="s">
        <v>1471</v>
      </c>
      <c r="G454" s="55">
        <v>0</v>
      </c>
      <c r="H454" s="55" t="s">
        <v>1816</v>
      </c>
      <c r="J454" s="57">
        <f>VLOOKUP(C454,'SALARY DETALES'!$B$2:$S$475,18,0)</f>
        <v>24000</v>
      </c>
      <c r="L454" s="60" t="e">
        <f>VLOOKUP(C454,'SALARY DETALES'!B453:C926,2,0)</f>
        <v>#N/A</v>
      </c>
      <c r="O454" s="62">
        <f>VLOOKUP(C454,'SALARY DETALES'!$B$2:$D$475,3,0)</f>
        <v>0</v>
      </c>
      <c r="P454" t="s">
        <v>1472</v>
      </c>
      <c r="Q454" t="s">
        <v>1473</v>
      </c>
      <c r="T454" t="s">
        <v>1474</v>
      </c>
    </row>
    <row r="455" spans="2:20" x14ac:dyDescent="0.3">
      <c r="B455" s="55">
        <v>453</v>
      </c>
      <c r="C455" s="55">
        <v>80720</v>
      </c>
      <c r="D455" t="s">
        <v>741</v>
      </c>
      <c r="E455" t="s">
        <v>502</v>
      </c>
      <c r="F455" t="s">
        <v>1475</v>
      </c>
      <c r="G455" s="55">
        <v>0</v>
      </c>
      <c r="H455" s="55" t="s">
        <v>1816</v>
      </c>
      <c r="J455" s="57">
        <f>VLOOKUP(C455,'SALARY DETALES'!$B$2:$S$475,18,0)</f>
        <v>23000</v>
      </c>
      <c r="L455" s="60" t="e">
        <f>VLOOKUP(C455,'SALARY DETALES'!B454:C927,2,0)</f>
        <v>#N/A</v>
      </c>
      <c r="O455" s="62" t="str">
        <f>VLOOKUP(C455,'SALARY DETALES'!$B$2:$D$475,3,0)</f>
        <v>OT/A</v>
      </c>
      <c r="P455" t="s">
        <v>1476</v>
      </c>
      <c r="Q455" t="s">
        <v>1477</v>
      </c>
    </row>
    <row r="456" spans="2:20" x14ac:dyDescent="0.3">
      <c r="B456" s="55">
        <v>454</v>
      </c>
      <c r="C456" s="55">
        <v>80721</v>
      </c>
      <c r="D456" t="s">
        <v>741</v>
      </c>
      <c r="E456" t="s">
        <v>173</v>
      </c>
      <c r="F456" t="s">
        <v>1451</v>
      </c>
      <c r="G456" s="55">
        <v>0</v>
      </c>
      <c r="H456" s="55" t="s">
        <v>1816</v>
      </c>
      <c r="J456" s="57">
        <f>VLOOKUP(C456,'SALARY DETALES'!$B$2:$S$475,18,0)</f>
        <v>25000</v>
      </c>
      <c r="L456" s="60" t="e">
        <f>VLOOKUP(C456,'SALARY DETALES'!B455:C928,2,0)</f>
        <v>#N/A</v>
      </c>
      <c r="O456" s="62" t="str">
        <f>VLOOKUP(C456,'SALARY DETALES'!$B$2:$D$475,3,0)</f>
        <v>CHINESE HELPER</v>
      </c>
      <c r="P456" t="s">
        <v>1478</v>
      </c>
      <c r="Q456" t="s">
        <v>1479</v>
      </c>
    </row>
    <row r="457" spans="2:20" x14ac:dyDescent="0.3">
      <c r="B457" s="55">
        <v>455</v>
      </c>
      <c r="C457" s="55">
        <v>80722</v>
      </c>
      <c r="D457" t="s">
        <v>741</v>
      </c>
      <c r="E457" t="s">
        <v>503</v>
      </c>
      <c r="F457" t="s">
        <v>1455</v>
      </c>
      <c r="G457" s="55">
        <v>0</v>
      </c>
      <c r="H457" s="55" t="s">
        <v>1816</v>
      </c>
      <c r="J457" s="57">
        <f>VLOOKUP(C457,'SALARY DETALES'!$B$2:$S$475,18,0)</f>
        <v>16000</v>
      </c>
      <c r="L457" s="60" t="e">
        <f>VLOOKUP(C457,'SALARY DETALES'!B456:C929,2,0)</f>
        <v>#N/A</v>
      </c>
      <c r="O457" s="62" t="str">
        <f>VLOOKUP(C457,'SALARY DETALES'!$B$2:$D$475,3,0)</f>
        <v>BW/A</v>
      </c>
      <c r="P457" t="s">
        <v>1480</v>
      </c>
      <c r="Q457" t="s">
        <v>1481</v>
      </c>
    </row>
    <row r="458" spans="2:20" x14ac:dyDescent="0.3">
      <c r="B458" s="55">
        <v>456</v>
      </c>
      <c r="C458" s="55">
        <v>80723</v>
      </c>
      <c r="D458" t="s">
        <v>741</v>
      </c>
      <c r="E458" t="s">
        <v>504</v>
      </c>
      <c r="F458" t="s">
        <v>1482</v>
      </c>
      <c r="G458" s="55">
        <v>0</v>
      </c>
      <c r="H458" s="55" t="s">
        <v>1816</v>
      </c>
      <c r="J458" s="57">
        <f>VLOOKUP(C458,'SALARY DETALES'!$B$2:$S$475,18,0)</f>
        <v>16000</v>
      </c>
      <c r="L458" s="60" t="e">
        <f>VLOOKUP(C458,'SALARY DETALES'!B457:C930,2,0)</f>
        <v>#N/A</v>
      </c>
      <c r="O458" s="62" t="str">
        <f>VLOOKUP(C458,'SALARY DETALES'!$B$2:$D$475,3,0)</f>
        <v>BW/A</v>
      </c>
      <c r="P458" t="s">
        <v>1483</v>
      </c>
      <c r="Q458" t="s">
        <v>1484</v>
      </c>
    </row>
    <row r="459" spans="2:20" x14ac:dyDescent="0.3">
      <c r="B459" s="55">
        <v>457</v>
      </c>
      <c r="C459" s="55">
        <v>80672</v>
      </c>
      <c r="D459" t="s">
        <v>741</v>
      </c>
      <c r="E459" t="s">
        <v>269</v>
      </c>
      <c r="F459" t="s">
        <v>1148</v>
      </c>
      <c r="G459" s="55">
        <v>0</v>
      </c>
      <c r="H459" s="55" t="s">
        <v>1816</v>
      </c>
      <c r="J459" s="57">
        <f>VLOOKUP(C459,'SALARY DETALES'!$B$2:$S$475,18,0)</f>
        <v>50000</v>
      </c>
      <c r="L459" s="60" t="e">
        <f>VLOOKUP(C459,'SALARY DETALES'!B458:C931,2,0)</f>
        <v>#N/A</v>
      </c>
      <c r="O459" s="62" t="str">
        <f>VLOOKUP(C459,'SALARY DETALES'!$B$2:$D$475,3,0)</f>
        <v>MANAGER</v>
      </c>
    </row>
    <row r="460" spans="2:20" x14ac:dyDescent="0.3">
      <c r="B460" s="55">
        <v>458</v>
      </c>
      <c r="C460" s="55">
        <v>80725</v>
      </c>
      <c r="D460" t="s">
        <v>741</v>
      </c>
      <c r="E460" t="s">
        <v>421</v>
      </c>
      <c r="F460" t="s">
        <v>1485</v>
      </c>
      <c r="G460" s="55">
        <v>0</v>
      </c>
      <c r="H460" s="55" t="s">
        <v>1816</v>
      </c>
      <c r="J460" s="57">
        <f>VLOOKUP(C460,'SALARY DETALES'!$B$2:$S$475,18,0)</f>
        <v>25000</v>
      </c>
      <c r="L460" s="60" t="e">
        <f>VLOOKUP(C460,'SALARY DETALES'!B459:C932,2,0)</f>
        <v>#N/A</v>
      </c>
      <c r="O460" s="62" t="str">
        <f>VLOOKUP(C460,'SALARY DETALES'!$B$2:$D$475,3,0)</f>
        <v>O/T</v>
      </c>
    </row>
    <row r="461" spans="2:20" x14ac:dyDescent="0.3">
      <c r="B461" s="55">
        <v>459</v>
      </c>
      <c r="C461" s="55">
        <v>80726</v>
      </c>
      <c r="D461" t="s">
        <v>741</v>
      </c>
      <c r="E461" t="s">
        <v>702</v>
      </c>
      <c r="F461" t="s">
        <v>1475</v>
      </c>
      <c r="G461" s="55">
        <v>0</v>
      </c>
      <c r="H461" s="55" t="s">
        <v>1816</v>
      </c>
      <c r="J461" s="57">
        <f>VLOOKUP(C461,'SALARY DETALES'!$B$2:$S$475,18,0)</f>
        <v>25000</v>
      </c>
      <c r="L461" s="60" t="str">
        <f>VLOOKUP(C461,'SALARY DETALES'!B460:C933,2,0)</f>
        <v>TEA</v>
      </c>
      <c r="O461" s="62" t="str">
        <f>VLOOKUP(C461,'SALARY DETALES'!$B$2:$D$475,3,0)</f>
        <v>HELPER</v>
      </c>
    </row>
    <row r="462" spans="2:20" x14ac:dyDescent="0.3">
      <c r="B462" s="55">
        <v>460</v>
      </c>
      <c r="C462" s="55">
        <v>80727</v>
      </c>
      <c r="D462" t="s">
        <v>741</v>
      </c>
      <c r="E462" t="s">
        <v>364</v>
      </c>
      <c r="F462" t="s">
        <v>1451</v>
      </c>
      <c r="G462" s="55">
        <v>0</v>
      </c>
      <c r="H462" s="55" t="s">
        <v>1816</v>
      </c>
      <c r="J462" s="57">
        <f>VLOOKUP(C462,'SALARY DETALES'!$B$2:$S$475,18,0)</f>
        <v>16000</v>
      </c>
      <c r="L462" s="60" t="e">
        <f>VLOOKUP(C462,'SALARY DETALES'!B461:C934,2,0)</f>
        <v>#N/A</v>
      </c>
      <c r="O462" s="62" t="str">
        <f>VLOOKUP(C462,'SALARY DETALES'!$B$2:$D$475,3,0)</f>
        <v>B/W</v>
      </c>
    </row>
    <row r="463" spans="2:20" x14ac:dyDescent="0.3">
      <c r="B463" s="55">
        <v>461</v>
      </c>
      <c r="C463" s="55">
        <v>80728</v>
      </c>
      <c r="D463" t="s">
        <v>741</v>
      </c>
      <c r="E463" t="s">
        <v>583</v>
      </c>
      <c r="F463" t="s">
        <v>1482</v>
      </c>
      <c r="G463" s="55">
        <v>0</v>
      </c>
      <c r="H463" s="55" t="s">
        <v>1816</v>
      </c>
      <c r="J463" s="57">
        <f>VLOOKUP(C463,'SALARY DETALES'!$B$2:$S$475,18,0)</f>
        <v>16000</v>
      </c>
      <c r="L463" s="60" t="e">
        <f>VLOOKUP(C463,'SALARY DETALES'!B462:C935,2,0)</f>
        <v>#N/A</v>
      </c>
      <c r="O463" s="62" t="str">
        <f>VLOOKUP(C463,'SALARY DETALES'!$B$2:$D$475,3,0)</f>
        <v>B/W</v>
      </c>
    </row>
    <row r="464" spans="2:20" x14ac:dyDescent="0.3">
      <c r="B464" s="55">
        <v>462</v>
      </c>
      <c r="C464" s="55">
        <v>80729</v>
      </c>
      <c r="D464" t="s">
        <v>741</v>
      </c>
      <c r="E464" t="s">
        <v>523</v>
      </c>
      <c r="F464" t="s">
        <v>1482</v>
      </c>
      <c r="G464" s="55">
        <v>0</v>
      </c>
      <c r="H464" s="55" t="s">
        <v>1816</v>
      </c>
      <c r="J464" s="57">
        <f>VLOOKUP(C464,'SALARY DETALES'!$B$2:$S$475,18,0)</f>
        <v>16000</v>
      </c>
      <c r="L464" s="60" t="e">
        <f>VLOOKUP(C464,'SALARY DETALES'!B463:C936,2,0)</f>
        <v>#N/A</v>
      </c>
      <c r="O464" s="62" t="str">
        <f>VLOOKUP(C464,'SALARY DETALES'!$B$2:$D$475,3,0)</f>
        <v>B/W</v>
      </c>
    </row>
    <row r="465" spans="2:17" x14ac:dyDescent="0.3">
      <c r="B465" s="55">
        <v>463</v>
      </c>
      <c r="C465" s="55">
        <v>80730</v>
      </c>
      <c r="D465" t="s">
        <v>741</v>
      </c>
      <c r="E465" t="s">
        <v>200</v>
      </c>
      <c r="F465" t="s">
        <v>1486</v>
      </c>
      <c r="G465" s="55">
        <v>0</v>
      </c>
      <c r="H465" s="55" t="s">
        <v>1816</v>
      </c>
      <c r="J465" s="57">
        <f>VLOOKUP(C465,'SALARY DETALES'!$B$2:$S$475,18,0)</f>
        <v>25000</v>
      </c>
      <c r="L465" s="60" t="e">
        <f>VLOOKUP(C465,'SALARY DETALES'!B464:C937,2,0)</f>
        <v>#N/A</v>
      </c>
      <c r="O465" s="62" t="str">
        <f>VLOOKUP(C465,'SALARY DETALES'!$B$2:$D$475,3,0)</f>
        <v>HELPER</v>
      </c>
      <c r="P465" t="s">
        <v>1487</v>
      </c>
      <c r="Q465" t="s">
        <v>1488</v>
      </c>
    </row>
    <row r="466" spans="2:17" x14ac:dyDescent="0.3">
      <c r="B466" s="55">
        <v>464</v>
      </c>
      <c r="C466" s="55">
        <v>80731</v>
      </c>
      <c r="D466" t="s">
        <v>741</v>
      </c>
      <c r="E466" t="s">
        <v>633</v>
      </c>
      <c r="F466" t="s">
        <v>1485</v>
      </c>
      <c r="G466" s="55">
        <v>0</v>
      </c>
      <c r="H466" s="55" t="s">
        <v>1816</v>
      </c>
      <c r="J466" s="57">
        <f>VLOOKUP(C466,'SALARY DETALES'!$B$2:$S$475,18,0)</f>
        <v>16000</v>
      </c>
      <c r="L466" s="60" t="e">
        <f>VLOOKUP(C466,'SALARY DETALES'!B465:C938,2,0)</f>
        <v>#N/A</v>
      </c>
      <c r="O466" s="62" t="str">
        <f>VLOOKUP(C466,'SALARY DETALES'!$B$2:$D$475,3,0)</f>
        <v>B/W</v>
      </c>
    </row>
    <row r="467" spans="2:17" x14ac:dyDescent="0.3">
      <c r="B467" s="55">
        <v>465</v>
      </c>
      <c r="C467" s="55">
        <v>80732</v>
      </c>
      <c r="D467" t="s">
        <v>741</v>
      </c>
      <c r="E467" t="s">
        <v>609</v>
      </c>
      <c r="F467" t="s">
        <v>1485</v>
      </c>
      <c r="G467" s="55">
        <v>0</v>
      </c>
      <c r="H467" s="55" t="s">
        <v>1816</v>
      </c>
      <c r="J467" s="57">
        <f>VLOOKUP(C467,'SALARY DETALES'!$B$2:$S$475,18,0)</f>
        <v>25000</v>
      </c>
      <c r="L467" s="60" t="e">
        <f>VLOOKUP(C467,'SALARY DETALES'!B466:C939,2,0)</f>
        <v>#N/A</v>
      </c>
      <c r="O467" s="62" t="str">
        <f>VLOOKUP(C467,'SALARY DETALES'!$B$2:$D$475,3,0)</f>
        <v>O/T</v>
      </c>
      <c r="Q467" t="s">
        <v>1489</v>
      </c>
    </row>
    <row r="468" spans="2:17" x14ac:dyDescent="0.3">
      <c r="B468" s="55">
        <v>466</v>
      </c>
      <c r="C468" s="55">
        <v>80733</v>
      </c>
      <c r="D468" t="s">
        <v>741</v>
      </c>
      <c r="E468" t="s">
        <v>683</v>
      </c>
      <c r="F468" t="s">
        <v>1490</v>
      </c>
      <c r="G468" s="55">
        <v>0</v>
      </c>
      <c r="H468" s="55" t="s">
        <v>1816</v>
      </c>
      <c r="J468" s="57">
        <f>VLOOKUP(C468,'SALARY DETALES'!$B$2:$S$475,18,0)</f>
        <v>25000</v>
      </c>
      <c r="L468" s="60" t="e">
        <f>VLOOKUP(C468,'SALARY DETALES'!B467:C940,2,0)</f>
        <v>#N/A</v>
      </c>
      <c r="O468" s="62" t="str">
        <f>VLOOKUP(C468,'SALARY DETALES'!$B$2:$D$475,3,0)</f>
        <v>HELPER</v>
      </c>
    </row>
    <row r="469" spans="2:17" x14ac:dyDescent="0.3">
      <c r="B469" s="55">
        <v>468</v>
      </c>
      <c r="C469" s="55">
        <v>80735</v>
      </c>
      <c r="D469" t="s">
        <v>719</v>
      </c>
      <c r="E469" t="s">
        <v>406</v>
      </c>
      <c r="F469" t="s">
        <v>1491</v>
      </c>
      <c r="G469" s="55">
        <v>0</v>
      </c>
      <c r="H469" s="55" t="s">
        <v>1816</v>
      </c>
      <c r="J469" s="57">
        <f>VLOOKUP(C469,'SALARY DETALES'!$B$2:$S$475,18,0)</f>
        <v>22000</v>
      </c>
      <c r="L469" s="60" t="e">
        <f>VLOOKUP(C469,'SALARY DETALES'!B469:C942,2,0)</f>
        <v>#N/A</v>
      </c>
      <c r="O469" s="62">
        <f>VLOOKUP(C469,'SALARY DETALES'!$B$2:$D$475,3,0)</f>
        <v>0</v>
      </c>
    </row>
    <row r="470" spans="2:17" x14ac:dyDescent="0.3">
      <c r="B470" s="55">
        <v>469</v>
      </c>
      <c r="C470" s="55">
        <v>80738</v>
      </c>
      <c r="D470" t="s">
        <v>741</v>
      </c>
      <c r="E470" t="s">
        <v>562</v>
      </c>
      <c r="F470" t="s">
        <v>1492</v>
      </c>
      <c r="G470" s="55">
        <v>0</v>
      </c>
      <c r="H470" s="55" t="s">
        <v>1816</v>
      </c>
      <c r="J470" s="57">
        <f>VLOOKUP(C470,'SALARY DETALES'!$B$2:$S$475,18,0)</f>
        <v>24000</v>
      </c>
      <c r="L470" s="60" t="e">
        <f>VLOOKUP(C470,'SALARY DETALES'!B470:C943,2,0)</f>
        <v>#N/A</v>
      </c>
      <c r="O470" s="62" t="str">
        <f>VLOOKUP(C470,'SALARY DETALES'!$B$2:$D$475,3,0)</f>
        <v>O/T</v>
      </c>
    </row>
    <row r="471" spans="2:17" x14ac:dyDescent="0.3">
      <c r="B471" s="55">
        <v>470</v>
      </c>
      <c r="C471" s="55">
        <v>80739</v>
      </c>
      <c r="D471" t="s">
        <v>741</v>
      </c>
      <c r="E471" t="s">
        <v>478</v>
      </c>
      <c r="F471" t="s">
        <v>1493</v>
      </c>
      <c r="G471" s="55">
        <v>0</v>
      </c>
      <c r="H471" s="55" t="s">
        <v>1816</v>
      </c>
      <c r="J471" s="57">
        <f>VLOOKUP(C471,'SALARY DETALES'!$B$2:$S$475,18,0)</f>
        <v>25000</v>
      </c>
      <c r="L471" s="60" t="e">
        <f>VLOOKUP(C471,'SALARY DETALES'!B471:C944,2,0)</f>
        <v>#N/A</v>
      </c>
      <c r="O471" s="62" t="str">
        <f>VLOOKUP(C471,'SALARY DETALES'!$B$2:$D$475,3,0)</f>
        <v>Helper</v>
      </c>
      <c r="P471" t="s">
        <v>1494</v>
      </c>
    </row>
    <row r="472" spans="2:17" x14ac:dyDescent="0.3">
      <c r="B472" s="55">
        <v>471</v>
      </c>
      <c r="C472" s="55">
        <v>80740</v>
      </c>
      <c r="D472" t="s">
        <v>741</v>
      </c>
      <c r="E472" t="s">
        <v>422</v>
      </c>
      <c r="F472" t="s">
        <v>1495</v>
      </c>
      <c r="G472" s="55">
        <v>0</v>
      </c>
      <c r="H472" s="55" t="s">
        <v>1816</v>
      </c>
      <c r="J472" s="57">
        <f>VLOOKUP(C472,'SALARY DETALES'!$B$2:$S$475,18,0)</f>
        <v>25000</v>
      </c>
      <c r="L472" s="60" t="e">
        <f>VLOOKUP(C472,'SALARY DETALES'!B472:C945,2,0)</f>
        <v>#N/A</v>
      </c>
      <c r="O472" s="62" t="str">
        <f>VLOOKUP(C472,'SALARY DETALES'!$B$2:$D$475,3,0)</f>
        <v>O/T</v>
      </c>
      <c r="P472" t="s">
        <v>1496</v>
      </c>
      <c r="Q472" t="s">
        <v>1497</v>
      </c>
    </row>
    <row r="473" spans="2:17" x14ac:dyDescent="0.3">
      <c r="B473" s="55">
        <v>472</v>
      </c>
      <c r="C473" s="55">
        <v>80742</v>
      </c>
      <c r="D473" t="s">
        <v>741</v>
      </c>
      <c r="E473" t="s">
        <v>210</v>
      </c>
      <c r="F473" t="s">
        <v>1485</v>
      </c>
      <c r="G473" s="55">
        <v>0</v>
      </c>
      <c r="H473" s="55" t="s">
        <v>1816</v>
      </c>
      <c r="J473" s="57">
        <f>VLOOKUP(C473,'SALARY DETALES'!$B$2:$S$475,18,0)</f>
        <v>30000</v>
      </c>
      <c r="L473" s="60" t="e">
        <f>VLOOKUP(C473,'SALARY DETALES'!B473:C946,2,0)</f>
        <v>#N/A</v>
      </c>
      <c r="O473" s="62" t="str">
        <f>VLOOKUP(C473,'SALARY DETALES'!$B$2:$D$475,3,0)</f>
        <v>Event Assistant</v>
      </c>
      <c r="P473" t="s">
        <v>1498</v>
      </c>
      <c r="Q473" t="s">
        <v>1499</v>
      </c>
    </row>
    <row r="474" spans="2:17" hidden="1" x14ac:dyDescent="0.3">
      <c r="B474" s="55">
        <v>473</v>
      </c>
      <c r="C474" s="55">
        <v>80743</v>
      </c>
      <c r="D474" t="s">
        <v>741</v>
      </c>
      <c r="E474" t="s">
        <v>1765</v>
      </c>
      <c r="F474" t="s">
        <v>1449</v>
      </c>
      <c r="G474" s="55">
        <v>0</v>
      </c>
      <c r="H474" s="55" t="s">
        <v>1816</v>
      </c>
      <c r="J474" s="57" t="e">
        <f>VLOOKUP(C474,'SALARY DETALES'!$B$2:$S$475,18,0)</f>
        <v>#N/A</v>
      </c>
      <c r="L474" s="60" t="e">
        <f>VLOOKUP(C474,'SALARY DETALES'!B474:C947,2,0)</f>
        <v>#N/A</v>
      </c>
      <c r="O474" s="62" t="e">
        <f>VLOOKUP(C474,'SALARY DETALES'!$B$2:$D$475,3,0)</f>
        <v>#N/A</v>
      </c>
      <c r="P474" t="s">
        <v>1500</v>
      </c>
    </row>
    <row r="475" spans="2:17" x14ac:dyDescent="0.3">
      <c r="B475" s="55">
        <v>474</v>
      </c>
      <c r="C475" s="55">
        <v>80744</v>
      </c>
      <c r="D475" t="s">
        <v>741</v>
      </c>
      <c r="E475" t="s">
        <v>134</v>
      </c>
      <c r="F475" t="s">
        <v>1495</v>
      </c>
      <c r="G475" s="55">
        <v>0</v>
      </c>
      <c r="H475" s="55" t="s">
        <v>1816</v>
      </c>
      <c r="J475" s="57">
        <f>VLOOKUP(C475,'SALARY DETALES'!$B$2:$S$475,18,0)</f>
        <v>16000</v>
      </c>
      <c r="L475" s="60" t="e">
        <f>VLOOKUP(C475,'SALARY DETALES'!B475:C948,2,0)</f>
        <v>#N/A</v>
      </c>
      <c r="O475" s="62" t="str">
        <f>VLOOKUP(C475,'SALARY DETALES'!$B$2:$D$475,3,0)</f>
        <v>Runner</v>
      </c>
      <c r="P475" t="s">
        <v>1325</v>
      </c>
    </row>
    <row r="476" spans="2:17" hidden="1" x14ac:dyDescent="0.3">
      <c r="B476" s="55">
        <v>475</v>
      </c>
      <c r="C476" s="55">
        <v>80745</v>
      </c>
      <c r="D476" t="s">
        <v>741</v>
      </c>
      <c r="E476" t="s">
        <v>1766</v>
      </c>
      <c r="F476" t="s">
        <v>1490</v>
      </c>
      <c r="G476" s="55">
        <v>0</v>
      </c>
      <c r="H476" s="55" t="s">
        <v>1816</v>
      </c>
      <c r="J476" s="57" t="e">
        <f>VLOOKUP(C476,'SALARY DETALES'!$B$2:$S$475,18,0)</f>
        <v>#N/A</v>
      </c>
      <c r="L476" s="60" t="e">
        <f>VLOOKUP(C476,'SALARY DETALES'!B476:C949,2,0)</f>
        <v>#N/A</v>
      </c>
      <c r="O476" s="62" t="e">
        <f>VLOOKUP(C476,'SALARY DETALES'!$B$2:$D$475,3,0)</f>
        <v>#N/A</v>
      </c>
    </row>
    <row r="477" spans="2:17" x14ac:dyDescent="0.3">
      <c r="B477" s="55">
        <v>476</v>
      </c>
      <c r="C477" s="55">
        <v>80746</v>
      </c>
      <c r="D477" t="s">
        <v>741</v>
      </c>
      <c r="E477" t="s">
        <v>365</v>
      </c>
      <c r="F477" t="s">
        <v>1501</v>
      </c>
      <c r="G477" s="55">
        <v>0</v>
      </c>
      <c r="H477" s="55" t="s">
        <v>1816</v>
      </c>
      <c r="J477" s="57">
        <f>VLOOKUP(C477,'SALARY DETALES'!$B$2:$S$475,18,0)</f>
        <v>16000</v>
      </c>
      <c r="L477" s="60" t="e">
        <f>VLOOKUP(C477,'SALARY DETALES'!B477:C950,2,0)</f>
        <v>#N/A</v>
      </c>
      <c r="O477" s="62" t="str">
        <f>VLOOKUP(C477,'SALARY DETALES'!$B$2:$D$475,3,0)</f>
        <v>B/W</v>
      </c>
      <c r="Q477" t="s">
        <v>1502</v>
      </c>
    </row>
    <row r="478" spans="2:17" x14ac:dyDescent="0.3">
      <c r="B478" s="55">
        <v>477</v>
      </c>
      <c r="C478" s="55">
        <v>80747</v>
      </c>
      <c r="D478" t="s">
        <v>741</v>
      </c>
      <c r="E478" t="s">
        <v>610</v>
      </c>
      <c r="F478" t="s">
        <v>1501</v>
      </c>
      <c r="G478" s="55">
        <v>0</v>
      </c>
      <c r="H478" s="55" t="s">
        <v>1816</v>
      </c>
      <c r="J478" s="57">
        <f>VLOOKUP(C478,'SALARY DETALES'!$B$2:$S$475,18,0)</f>
        <v>16000</v>
      </c>
      <c r="L478" s="60" t="e">
        <f>VLOOKUP(C478,'SALARY DETALES'!B478:C951,2,0)</f>
        <v>#N/A</v>
      </c>
      <c r="O478" s="62" t="str">
        <f>VLOOKUP(C478,'SALARY DETALES'!$B$2:$D$475,3,0)</f>
        <v>B/W</v>
      </c>
      <c r="Q478" t="s">
        <v>1502</v>
      </c>
    </row>
    <row r="479" spans="2:17" hidden="1" x14ac:dyDescent="0.3">
      <c r="B479" s="55">
        <v>478</v>
      </c>
      <c r="C479" s="55">
        <v>80749</v>
      </c>
      <c r="D479" t="s">
        <v>741</v>
      </c>
      <c r="E479" t="s">
        <v>1767</v>
      </c>
      <c r="F479" t="s">
        <v>878</v>
      </c>
      <c r="G479" s="55">
        <v>0</v>
      </c>
      <c r="H479" s="55" t="s">
        <v>1816</v>
      </c>
      <c r="J479" s="57" t="e">
        <f>VLOOKUP(C479,'SALARY DETALES'!$B$2:$S$475,18,0)</f>
        <v>#N/A</v>
      </c>
      <c r="L479" s="60" t="e">
        <f>VLOOKUP(C479,'SALARY DETALES'!B479:C952,2,0)</f>
        <v>#N/A</v>
      </c>
      <c r="O479" s="62" t="e">
        <f>VLOOKUP(C479,'SALARY DETALES'!$B$2:$D$475,3,0)</f>
        <v>#N/A</v>
      </c>
    </row>
    <row r="480" spans="2:17" hidden="1" x14ac:dyDescent="0.3">
      <c r="B480" s="55">
        <v>479</v>
      </c>
      <c r="C480" s="55">
        <v>80750</v>
      </c>
      <c r="D480" t="s">
        <v>741</v>
      </c>
      <c r="E480" t="s">
        <v>1768</v>
      </c>
      <c r="F480" t="s">
        <v>1148</v>
      </c>
      <c r="G480" s="55">
        <v>0</v>
      </c>
      <c r="H480" s="55" t="s">
        <v>1816</v>
      </c>
      <c r="J480" s="57" t="e">
        <f>VLOOKUP(C480,'SALARY DETALES'!$B$2:$S$475,18,0)</f>
        <v>#N/A</v>
      </c>
      <c r="L480" s="60" t="e">
        <f>VLOOKUP(C480,'SALARY DETALES'!B480:C953,2,0)</f>
        <v>#N/A</v>
      </c>
      <c r="O480" s="62" t="e">
        <f>VLOOKUP(C480,'SALARY DETALES'!$B$2:$D$475,3,0)</f>
        <v>#N/A</v>
      </c>
    </row>
    <row r="481" spans="2:18" hidden="1" x14ac:dyDescent="0.3">
      <c r="B481" s="55">
        <v>480</v>
      </c>
      <c r="C481" s="55">
        <v>80751</v>
      </c>
      <c r="D481" t="s">
        <v>741</v>
      </c>
      <c r="E481" t="s">
        <v>1769</v>
      </c>
      <c r="F481" t="s">
        <v>1148</v>
      </c>
      <c r="G481" s="55">
        <v>0</v>
      </c>
      <c r="H481" s="55" t="s">
        <v>1816</v>
      </c>
      <c r="J481" s="57" t="e">
        <f>VLOOKUP(C481,'SALARY DETALES'!$B$2:$S$475,18,0)</f>
        <v>#N/A</v>
      </c>
      <c r="L481" s="60" t="e">
        <f>VLOOKUP(C481,'SALARY DETALES'!B481:C954,2,0)</f>
        <v>#N/A</v>
      </c>
      <c r="O481" s="62" t="e">
        <f>VLOOKUP(C481,'SALARY DETALES'!$B$2:$D$475,3,0)</f>
        <v>#N/A</v>
      </c>
    </row>
    <row r="482" spans="2:18" x14ac:dyDescent="0.3">
      <c r="B482" s="55">
        <v>481</v>
      </c>
      <c r="C482" s="55">
        <v>80752</v>
      </c>
      <c r="D482" t="s">
        <v>741</v>
      </c>
      <c r="E482" t="s">
        <v>308</v>
      </c>
      <c r="F482" t="s">
        <v>1495</v>
      </c>
      <c r="G482" s="55">
        <v>405</v>
      </c>
      <c r="H482" s="55" t="s">
        <v>1817</v>
      </c>
      <c r="J482" s="57">
        <f>VLOOKUP(C482,'SALARY DETALES'!$B$2:$S$475,18,0)</f>
        <v>28000</v>
      </c>
      <c r="L482" s="60" t="e">
        <f>VLOOKUP(C482,'SALARY DETALES'!B482:C955,2,0)</f>
        <v>#N/A</v>
      </c>
      <c r="O482" s="62" t="str">
        <f>VLOOKUP(C482,'SALARY DETALES'!$B$2:$D$475,3,0)</f>
        <v>GRO</v>
      </c>
      <c r="P482" t="s">
        <v>1503</v>
      </c>
      <c r="Q482" t="s">
        <v>1504</v>
      </c>
      <c r="R482" t="s">
        <v>1505</v>
      </c>
    </row>
    <row r="483" spans="2:18" x14ac:dyDescent="0.3">
      <c r="B483" s="55">
        <v>482</v>
      </c>
      <c r="C483" s="55">
        <v>80753</v>
      </c>
      <c r="D483" t="s">
        <v>741</v>
      </c>
      <c r="E483" t="s">
        <v>549</v>
      </c>
      <c r="F483" t="s">
        <v>1506</v>
      </c>
      <c r="G483" s="55">
        <v>0</v>
      </c>
      <c r="H483" s="55" t="s">
        <v>1816</v>
      </c>
      <c r="J483" s="57">
        <f>VLOOKUP(C483,'SALARY DETALES'!$B$2:$S$475,18,0)</f>
        <v>16000</v>
      </c>
      <c r="L483" s="60" t="e">
        <f>VLOOKUP(C483,'SALARY DETALES'!B483:C956,2,0)</f>
        <v>#N/A</v>
      </c>
      <c r="O483" s="62" t="str">
        <f>VLOOKUP(C483,'SALARY DETALES'!$B$2:$D$475,3,0)</f>
        <v>B/W</v>
      </c>
      <c r="P483" t="s">
        <v>1507</v>
      </c>
      <c r="Q483" t="s">
        <v>1508</v>
      </c>
      <c r="R483" t="s">
        <v>1509</v>
      </c>
    </row>
    <row r="484" spans="2:18" x14ac:dyDescent="0.3">
      <c r="B484" s="55">
        <v>483</v>
      </c>
      <c r="C484" s="55">
        <v>80754</v>
      </c>
      <c r="D484" t="s">
        <v>741</v>
      </c>
      <c r="E484" t="s">
        <v>317</v>
      </c>
      <c r="F484" t="s">
        <v>1510</v>
      </c>
      <c r="G484" s="55">
        <v>0</v>
      </c>
      <c r="H484" s="55" t="s">
        <v>1816</v>
      </c>
      <c r="J484" s="57">
        <f>VLOOKUP(C484,'SALARY DETALES'!$B$2:$S$475,18,0)</f>
        <v>25000</v>
      </c>
      <c r="L484" s="60" t="e">
        <f>VLOOKUP(C484,'SALARY DETALES'!B484:C957,2,0)</f>
        <v>#N/A</v>
      </c>
      <c r="O484" s="62" t="str">
        <f>VLOOKUP(C484,'SALARY DETALES'!$B$2:$D$475,3,0)</f>
        <v>HELPR</v>
      </c>
      <c r="P484" t="s">
        <v>1511</v>
      </c>
      <c r="Q484" t="s">
        <v>1512</v>
      </c>
    </row>
    <row r="485" spans="2:18" x14ac:dyDescent="0.3">
      <c r="B485" s="55">
        <v>484</v>
      </c>
      <c r="C485" s="55">
        <v>80755</v>
      </c>
      <c r="D485" t="s">
        <v>741</v>
      </c>
      <c r="E485" t="s">
        <v>318</v>
      </c>
      <c r="F485" t="s">
        <v>1510</v>
      </c>
      <c r="G485" s="55">
        <v>0</v>
      </c>
      <c r="H485" s="55" t="s">
        <v>1816</v>
      </c>
      <c r="J485" s="57">
        <f>VLOOKUP(C485,'SALARY DETALES'!$B$2:$S$475,18,0)</f>
        <v>25000</v>
      </c>
      <c r="L485" s="60" t="e">
        <f>VLOOKUP(C485,'SALARY DETALES'!B485:C958,2,0)</f>
        <v>#N/A</v>
      </c>
      <c r="O485" s="62" t="str">
        <f>VLOOKUP(C485,'SALARY DETALES'!$B$2:$D$475,3,0)</f>
        <v>HELPER</v>
      </c>
      <c r="P485" t="s">
        <v>1513</v>
      </c>
      <c r="Q485" t="s">
        <v>1514</v>
      </c>
      <c r="R485" t="s">
        <v>1515</v>
      </c>
    </row>
    <row r="486" spans="2:18" x14ac:dyDescent="0.3">
      <c r="B486" s="55">
        <v>485</v>
      </c>
      <c r="C486" s="55">
        <v>80756</v>
      </c>
      <c r="D486" t="s">
        <v>719</v>
      </c>
      <c r="E486" t="s">
        <v>407</v>
      </c>
      <c r="F486" t="s">
        <v>1510</v>
      </c>
      <c r="G486" s="55">
        <v>0</v>
      </c>
      <c r="H486" s="55" t="s">
        <v>1816</v>
      </c>
      <c r="J486" s="57">
        <f>VLOOKUP(C486,'SALARY DETALES'!$B$2:$S$475,18,0)</f>
        <v>22000</v>
      </c>
      <c r="L486" s="60" t="e">
        <f>VLOOKUP(C486,'SALARY DETALES'!B486:C959,2,0)</f>
        <v>#N/A</v>
      </c>
      <c r="O486" s="62" t="str">
        <f>VLOOKUP(C486,'SALARY DETALES'!$B$2:$D$475,3,0)</f>
        <v>COLD BAR HELPER</v>
      </c>
      <c r="P486" t="s">
        <v>1516</v>
      </c>
      <c r="Q486" t="s">
        <v>1517</v>
      </c>
    </row>
    <row r="487" spans="2:18" x14ac:dyDescent="0.3">
      <c r="B487" s="55">
        <v>486</v>
      </c>
      <c r="C487" s="55">
        <v>80757</v>
      </c>
      <c r="D487" t="s">
        <v>741</v>
      </c>
      <c r="E487" t="s">
        <v>480</v>
      </c>
      <c r="F487" t="s">
        <v>1518</v>
      </c>
      <c r="G487" s="55">
        <v>0</v>
      </c>
      <c r="H487" s="55" t="s">
        <v>1816</v>
      </c>
      <c r="J487" s="57">
        <f>VLOOKUP(C487,'SALARY DETALES'!$B$2:$S$475,18,0)</f>
        <v>22000</v>
      </c>
      <c r="L487" s="60" t="e">
        <f>VLOOKUP(C487,'SALARY DETALES'!B487:C960,2,0)</f>
        <v>#N/A</v>
      </c>
      <c r="O487" s="62" t="str">
        <f>VLOOKUP(C487,'SALARY DETALES'!$B$2:$D$475,3,0)</f>
        <v>SALAD BAR HELPER</v>
      </c>
      <c r="P487" t="s">
        <v>1519</v>
      </c>
      <c r="Q487" t="s">
        <v>1520</v>
      </c>
    </row>
    <row r="488" spans="2:18" x14ac:dyDescent="0.3">
      <c r="B488" s="55">
        <v>487</v>
      </c>
      <c r="C488" s="55">
        <v>80758</v>
      </c>
      <c r="D488" t="s">
        <v>741</v>
      </c>
      <c r="E488" t="s">
        <v>550</v>
      </c>
      <c r="F488" t="s">
        <v>1510</v>
      </c>
      <c r="G488" s="55">
        <v>0</v>
      </c>
      <c r="H488" s="55" t="s">
        <v>1816</v>
      </c>
      <c r="J488" s="57">
        <f>VLOOKUP(C488,'SALARY DETALES'!$B$2:$S$475,18,0)</f>
        <v>16000</v>
      </c>
      <c r="L488" s="60" t="e">
        <f>VLOOKUP(C488,'SALARY DETALES'!B488:C961,2,0)</f>
        <v>#N/A</v>
      </c>
      <c r="O488" s="62" t="str">
        <f>VLOOKUP(C488,'SALARY DETALES'!$B$2:$D$475,3,0)</f>
        <v>BW</v>
      </c>
      <c r="P488" t="s">
        <v>1521</v>
      </c>
      <c r="Q488" t="s">
        <v>1522</v>
      </c>
      <c r="R488" t="s">
        <v>1042</v>
      </c>
    </row>
    <row r="489" spans="2:18" x14ac:dyDescent="0.3">
      <c r="B489" s="55">
        <v>488</v>
      </c>
      <c r="C489" s="55">
        <v>80759</v>
      </c>
      <c r="D489" t="s">
        <v>741</v>
      </c>
      <c r="E489" t="s">
        <v>665</v>
      </c>
      <c r="F489" t="s">
        <v>868</v>
      </c>
      <c r="G489" s="55">
        <v>195</v>
      </c>
      <c r="H489" s="55" t="s">
        <v>1817</v>
      </c>
      <c r="J489" s="57">
        <f>VLOOKUP(C489,'SALARY DETALES'!$B$2:$S$475,18,0)</f>
        <v>28000</v>
      </c>
      <c r="L489" s="60" t="e">
        <f>VLOOKUP(C489,'SALARY DETALES'!B489:C962,2,0)</f>
        <v>#N/A</v>
      </c>
      <c r="O489" s="62" t="str">
        <f>VLOOKUP(C489,'SALARY DETALES'!$B$2:$D$475,3,0)</f>
        <v>STORE HELPER</v>
      </c>
      <c r="P489" t="s">
        <v>1523</v>
      </c>
      <c r="Q489" t="s">
        <v>1524</v>
      </c>
    </row>
    <row r="490" spans="2:18" x14ac:dyDescent="0.3">
      <c r="B490" s="55">
        <v>489</v>
      </c>
      <c r="C490" s="55">
        <v>80760</v>
      </c>
      <c r="D490" t="s">
        <v>741</v>
      </c>
      <c r="E490" t="s">
        <v>309</v>
      </c>
      <c r="F490" t="s">
        <v>1525</v>
      </c>
      <c r="G490" s="55">
        <v>405</v>
      </c>
      <c r="H490" s="55" t="s">
        <v>1817</v>
      </c>
      <c r="J490" s="57">
        <f>VLOOKUP(C490,'SALARY DETALES'!$B$2:$S$475,18,0)</f>
        <v>25000</v>
      </c>
      <c r="L490" s="60" t="e">
        <f>VLOOKUP(C490,'SALARY DETALES'!B490:C963,2,0)</f>
        <v>#N/A</v>
      </c>
      <c r="O490" s="62" t="str">
        <f>VLOOKUP(C490,'SALARY DETALES'!$B$2:$D$475,3,0)</f>
        <v>Gro</v>
      </c>
    </row>
    <row r="491" spans="2:18" x14ac:dyDescent="0.3">
      <c r="B491" s="55">
        <v>490</v>
      </c>
      <c r="C491" s="55">
        <v>80761</v>
      </c>
      <c r="D491" t="s">
        <v>741</v>
      </c>
      <c r="E491" t="s">
        <v>634</v>
      </c>
      <c r="F491" t="s">
        <v>1526</v>
      </c>
      <c r="G491" s="55">
        <v>0</v>
      </c>
      <c r="H491" s="55" t="s">
        <v>1816</v>
      </c>
      <c r="J491" s="57">
        <f>VLOOKUP(C491,'SALARY DETALES'!$B$2:$S$475,18,0)</f>
        <v>16000</v>
      </c>
      <c r="L491" s="60" t="e">
        <f>VLOOKUP(C491,'SALARY DETALES'!B491:C964,2,0)</f>
        <v>#N/A</v>
      </c>
      <c r="O491" s="62" t="str">
        <f>VLOOKUP(C491,'SALARY DETALES'!$B$2:$D$475,3,0)</f>
        <v>B/W</v>
      </c>
    </row>
    <row r="492" spans="2:18" x14ac:dyDescent="0.3">
      <c r="B492" s="55">
        <v>491</v>
      </c>
      <c r="C492" s="55">
        <v>80762</v>
      </c>
      <c r="D492" t="s">
        <v>741</v>
      </c>
      <c r="E492" t="s">
        <v>175</v>
      </c>
      <c r="F492" t="s">
        <v>1518</v>
      </c>
      <c r="G492" s="55">
        <v>0</v>
      </c>
      <c r="H492" s="55" t="s">
        <v>1816</v>
      </c>
      <c r="J492" s="57">
        <f>VLOOKUP(C492,'SALARY DETALES'!$B$2:$S$475,18,0)</f>
        <v>25000</v>
      </c>
      <c r="L492" s="60" t="e">
        <f>VLOOKUP(C492,'SALARY DETALES'!B492:C965,2,0)</f>
        <v>#N/A</v>
      </c>
      <c r="O492" s="62" t="str">
        <f>VLOOKUP(C492,'SALARY DETALES'!$B$2:$D$475,3,0)</f>
        <v>HELPER</v>
      </c>
      <c r="P492" t="s">
        <v>1527</v>
      </c>
      <c r="Q492" t="s">
        <v>1528</v>
      </c>
    </row>
    <row r="493" spans="2:18" x14ac:dyDescent="0.3">
      <c r="B493" s="55">
        <v>492</v>
      </c>
      <c r="C493" s="55">
        <v>80763</v>
      </c>
      <c r="D493" t="s">
        <v>741</v>
      </c>
      <c r="E493" t="s">
        <v>666</v>
      </c>
      <c r="F493" t="s">
        <v>1529</v>
      </c>
      <c r="G493" s="55">
        <v>0</v>
      </c>
      <c r="H493" s="55" t="s">
        <v>1816</v>
      </c>
      <c r="J493" s="57">
        <f>VLOOKUP(C493,'SALARY DETALES'!$B$2:$S$475,18,0)</f>
        <v>28000</v>
      </c>
      <c r="L493" s="60" t="e">
        <f>VLOOKUP(C493,'SALARY DETALES'!B493:C966,2,0)</f>
        <v>#N/A</v>
      </c>
      <c r="O493" s="62" t="str">
        <f>VLOOKUP(C493,'SALARY DETALES'!$B$2:$D$475,3,0)</f>
        <v>STORE HELPER</v>
      </c>
    </row>
    <row r="494" spans="2:18" x14ac:dyDescent="0.3">
      <c r="B494" s="55">
        <v>493</v>
      </c>
      <c r="C494" s="55">
        <v>80764</v>
      </c>
      <c r="D494" t="s">
        <v>741</v>
      </c>
      <c r="E494" t="s">
        <v>276</v>
      </c>
      <c r="F494" t="s">
        <v>1529</v>
      </c>
      <c r="G494" s="55">
        <v>0</v>
      </c>
      <c r="H494" s="55" t="s">
        <v>1816</v>
      </c>
      <c r="J494" s="57">
        <f>VLOOKUP(C494,'SALARY DETALES'!$B$2:$S$475,18,0)</f>
        <v>16000</v>
      </c>
      <c r="L494" s="60" t="e">
        <f>VLOOKUP(C494,'SALARY DETALES'!B494:C967,2,0)</f>
        <v>#N/A</v>
      </c>
      <c r="O494" s="62" t="str">
        <f>VLOOKUP(C494,'SALARY DETALES'!$B$2:$D$475,3,0)</f>
        <v>WIPPING</v>
      </c>
    </row>
    <row r="495" spans="2:18" x14ac:dyDescent="0.3">
      <c r="B495" s="55">
        <v>494</v>
      </c>
      <c r="C495" s="55">
        <v>80765</v>
      </c>
      <c r="D495" t="s">
        <v>741</v>
      </c>
      <c r="E495" t="s">
        <v>524</v>
      </c>
      <c r="F495" t="s">
        <v>1526</v>
      </c>
      <c r="G495" s="55">
        <v>0</v>
      </c>
      <c r="H495" s="55" t="s">
        <v>1816</v>
      </c>
      <c r="J495" s="57">
        <f>VLOOKUP(C495,'SALARY DETALES'!$B$2:$S$475,18,0)</f>
        <v>16000</v>
      </c>
      <c r="L495" s="60" t="e">
        <f>VLOOKUP(C495,'SALARY DETALES'!B495:C968,2,0)</f>
        <v>#N/A</v>
      </c>
      <c r="O495" s="62" t="str">
        <f>VLOOKUP(C495,'SALARY DETALES'!$B$2:$D$475,3,0)</f>
        <v>BST</v>
      </c>
    </row>
    <row r="496" spans="2:18" x14ac:dyDescent="0.3">
      <c r="B496" s="55">
        <v>495</v>
      </c>
      <c r="C496" s="55">
        <v>80766</v>
      </c>
      <c r="D496" t="s">
        <v>741</v>
      </c>
      <c r="E496" t="s">
        <v>249</v>
      </c>
      <c r="F496" t="s">
        <v>1526</v>
      </c>
      <c r="G496" s="55">
        <v>0</v>
      </c>
      <c r="H496" s="55" t="s">
        <v>1816</v>
      </c>
      <c r="J496" s="57">
        <f>VLOOKUP(C496,'SALARY DETALES'!$B$2:$S$475,18,0)</f>
        <v>16000</v>
      </c>
      <c r="L496" s="60" t="e">
        <f>VLOOKUP(C496,'SALARY DETALES'!B496:C969,2,0)</f>
        <v>#N/A</v>
      </c>
      <c r="O496" s="62" t="str">
        <f>VLOOKUP(C496,'SALARY DETALES'!$B$2:$D$475,3,0)</f>
        <v>BST</v>
      </c>
    </row>
    <row r="497" spans="2:20" x14ac:dyDescent="0.3">
      <c r="B497" s="55">
        <v>496</v>
      </c>
      <c r="C497" s="55">
        <v>80767</v>
      </c>
      <c r="D497" t="s">
        <v>741</v>
      </c>
      <c r="E497" t="s">
        <v>277</v>
      </c>
      <c r="F497" t="s">
        <v>1530</v>
      </c>
      <c r="G497" s="55">
        <v>0</v>
      </c>
      <c r="H497" s="55" t="s">
        <v>1816</v>
      </c>
      <c r="J497" s="57">
        <f>VLOOKUP(C497,'SALARY DETALES'!$B$2:$S$475,18,0)</f>
        <v>16000</v>
      </c>
      <c r="L497" s="60" t="e">
        <f>VLOOKUP(C497,'SALARY DETALES'!B497:C970,2,0)</f>
        <v>#N/A</v>
      </c>
      <c r="O497" s="62" t="str">
        <f>VLOOKUP(C497,'SALARY DETALES'!$B$2:$D$475,3,0)</f>
        <v>WIPPING</v>
      </c>
    </row>
    <row r="498" spans="2:20" x14ac:dyDescent="0.3">
      <c r="B498" s="55">
        <v>497</v>
      </c>
      <c r="C498" s="55">
        <v>80768</v>
      </c>
      <c r="D498" t="s">
        <v>741</v>
      </c>
      <c r="E498" t="s">
        <v>563</v>
      </c>
      <c r="F498" t="s">
        <v>1179</v>
      </c>
      <c r="G498" s="55">
        <v>0</v>
      </c>
      <c r="H498" s="55" t="s">
        <v>1816</v>
      </c>
      <c r="J498" s="57">
        <f>VLOOKUP(C498,'SALARY DETALES'!$B$2:$S$475,18,0)</f>
        <v>16000</v>
      </c>
      <c r="L498" s="60" t="e">
        <f>VLOOKUP(C498,'SALARY DETALES'!B498:C971,2,0)</f>
        <v>#N/A</v>
      </c>
      <c r="O498" s="62" t="str">
        <f>VLOOKUP(C498,'SALARY DETALES'!$B$2:$D$475,3,0)</f>
        <v>B/W</v>
      </c>
    </row>
    <row r="499" spans="2:20" x14ac:dyDescent="0.3">
      <c r="B499" s="55">
        <v>498</v>
      </c>
      <c r="C499" s="55">
        <v>80769</v>
      </c>
      <c r="D499" t="s">
        <v>741</v>
      </c>
      <c r="E499" t="s">
        <v>279</v>
      </c>
      <c r="F499" t="s">
        <v>1531</v>
      </c>
      <c r="G499" s="55">
        <v>0</v>
      </c>
      <c r="H499" s="55" t="s">
        <v>1816</v>
      </c>
      <c r="J499" s="57">
        <f>VLOOKUP(C499,'SALARY DETALES'!$B$2:$S$475,18,0)</f>
        <v>16000</v>
      </c>
      <c r="L499" s="60" t="e">
        <f>VLOOKUP(C499,'SALARY DETALES'!B499:C972,2,0)</f>
        <v>#N/A</v>
      </c>
      <c r="O499" s="62" t="str">
        <f>VLOOKUP(C499,'SALARY DETALES'!$B$2:$D$475,3,0)</f>
        <v>B/W</v>
      </c>
    </row>
    <row r="500" spans="2:20" x14ac:dyDescent="0.3">
      <c r="B500" s="55">
        <v>499</v>
      </c>
      <c r="C500" s="55">
        <v>80770</v>
      </c>
      <c r="D500" t="s">
        <v>741</v>
      </c>
      <c r="E500" t="s">
        <v>281</v>
      </c>
      <c r="F500" t="s">
        <v>1526</v>
      </c>
      <c r="G500" s="55">
        <v>0</v>
      </c>
      <c r="H500" s="55" t="s">
        <v>1816</v>
      </c>
      <c r="J500" s="57">
        <f>VLOOKUP(C500,'SALARY DETALES'!$B$2:$S$475,18,0)</f>
        <v>20000</v>
      </c>
      <c r="L500" s="60" t="e">
        <f>VLOOKUP(C500,'SALARY DETALES'!B500:C973,2,0)</f>
        <v>#N/A</v>
      </c>
      <c r="O500" s="62" t="str">
        <f>VLOOKUP(C500,'SALARY DETALES'!$B$2:$D$475,3,0)</f>
        <v>OT</v>
      </c>
      <c r="T500" t="s">
        <v>1532</v>
      </c>
    </row>
    <row r="501" spans="2:20" x14ac:dyDescent="0.3">
      <c r="B501" s="55">
        <v>500</v>
      </c>
      <c r="C501" s="55">
        <v>80771</v>
      </c>
      <c r="D501" t="s">
        <v>741</v>
      </c>
      <c r="E501" t="s">
        <v>611</v>
      </c>
      <c r="F501" t="s">
        <v>1526</v>
      </c>
      <c r="G501" s="55">
        <v>0</v>
      </c>
      <c r="H501" s="55" t="s">
        <v>1816</v>
      </c>
      <c r="J501" s="57">
        <f>VLOOKUP(C501,'SALARY DETALES'!$B$2:$S$475,18,0)</f>
        <v>16000</v>
      </c>
      <c r="L501" s="60" t="e">
        <f>VLOOKUP(C501,'SALARY DETALES'!B501:C974,2,0)</f>
        <v>#N/A</v>
      </c>
      <c r="O501" s="62" t="str">
        <f>VLOOKUP(C501,'SALARY DETALES'!$B$2:$D$475,3,0)</f>
        <v>B/W</v>
      </c>
    </row>
    <row r="502" spans="2:20" x14ac:dyDescent="0.3">
      <c r="B502" s="55">
        <v>501</v>
      </c>
      <c r="C502" s="55">
        <v>80772</v>
      </c>
      <c r="D502" t="s">
        <v>741</v>
      </c>
      <c r="E502" t="s">
        <v>612</v>
      </c>
      <c r="F502" t="s">
        <v>1533</v>
      </c>
      <c r="G502" s="55">
        <v>0</v>
      </c>
      <c r="H502" s="55" t="s">
        <v>1816</v>
      </c>
      <c r="J502" s="57">
        <f>VLOOKUP(C502,'SALARY DETALES'!$B$2:$S$475,18,0)</f>
        <v>16000</v>
      </c>
      <c r="L502" s="60" t="e">
        <f>VLOOKUP(C502,'SALARY DETALES'!B502:C975,2,0)</f>
        <v>#N/A</v>
      </c>
      <c r="O502" s="62" t="str">
        <f>VLOOKUP(C502,'SALARY DETALES'!$B$2:$D$475,3,0)</f>
        <v>B/W</v>
      </c>
    </row>
    <row r="503" spans="2:20" x14ac:dyDescent="0.3">
      <c r="B503" s="55">
        <v>502</v>
      </c>
      <c r="C503" s="55">
        <v>80773</v>
      </c>
      <c r="D503" t="s">
        <v>741</v>
      </c>
      <c r="E503" t="s">
        <v>282</v>
      </c>
      <c r="F503" t="s">
        <v>1531</v>
      </c>
      <c r="G503" s="55">
        <v>0</v>
      </c>
      <c r="H503" s="55" t="s">
        <v>1816</v>
      </c>
      <c r="J503" s="57">
        <f>VLOOKUP(C503,'SALARY DETALES'!$B$2:$S$475,18,0)</f>
        <v>16000</v>
      </c>
      <c r="L503" s="60" t="e">
        <f>VLOOKUP(C503,'SALARY DETALES'!B503:C976,2,0)</f>
        <v>#N/A</v>
      </c>
      <c r="O503" s="62" t="str">
        <f>VLOOKUP(C503,'SALARY DETALES'!$B$2:$D$475,3,0)</f>
        <v>B/W</v>
      </c>
    </row>
    <row r="504" spans="2:20" x14ac:dyDescent="0.3">
      <c r="B504" s="55">
        <v>503</v>
      </c>
      <c r="C504" s="55">
        <v>80774</v>
      </c>
      <c r="D504" t="s">
        <v>741</v>
      </c>
      <c r="E504" t="s">
        <v>283</v>
      </c>
      <c r="F504" t="s">
        <v>1518</v>
      </c>
      <c r="G504" s="55">
        <v>0</v>
      </c>
      <c r="H504" s="55" t="s">
        <v>1816</v>
      </c>
      <c r="J504" s="57">
        <f>VLOOKUP(C504,'SALARY DETALES'!$B$2:$S$475,18,0)</f>
        <v>16000</v>
      </c>
      <c r="L504" s="60" t="e">
        <f>VLOOKUP(C504,'SALARY DETALES'!B504:C977,2,0)</f>
        <v>#N/A</v>
      </c>
      <c r="O504" s="62" t="str">
        <f>VLOOKUP(C504,'SALARY DETALES'!$B$2:$D$475,3,0)</f>
        <v>B/W</v>
      </c>
    </row>
    <row r="505" spans="2:20" x14ac:dyDescent="0.3">
      <c r="B505" s="55">
        <v>504</v>
      </c>
      <c r="C505" s="55">
        <v>80775</v>
      </c>
      <c r="D505" t="s">
        <v>741</v>
      </c>
      <c r="E505" t="s">
        <v>366</v>
      </c>
      <c r="F505" t="s">
        <v>1530</v>
      </c>
      <c r="G505" s="55">
        <v>0</v>
      </c>
      <c r="H505" s="55" t="s">
        <v>1816</v>
      </c>
      <c r="J505" s="57">
        <f>VLOOKUP(C505,'SALARY DETALES'!$B$2:$S$475,18,0)</f>
        <v>16000</v>
      </c>
      <c r="L505" s="60" t="e">
        <f>VLOOKUP(C505,'SALARY DETALES'!B505:C978,2,0)</f>
        <v>#N/A</v>
      </c>
      <c r="O505" s="62" t="str">
        <f>VLOOKUP(C505,'SALARY DETALES'!$B$2:$D$475,3,0)</f>
        <v>B/W</v>
      </c>
    </row>
    <row r="506" spans="2:20" x14ac:dyDescent="0.3">
      <c r="B506" s="55">
        <v>505</v>
      </c>
      <c r="C506" s="55">
        <v>80776</v>
      </c>
      <c r="D506" t="s">
        <v>741</v>
      </c>
      <c r="E506" t="s">
        <v>635</v>
      </c>
      <c r="F506" t="s">
        <v>1530</v>
      </c>
      <c r="G506" s="55">
        <v>0</v>
      </c>
      <c r="H506" s="55" t="s">
        <v>1816</v>
      </c>
      <c r="J506" s="57">
        <f>VLOOKUP(C506,'SALARY DETALES'!$B$2:$S$475,18,0)</f>
        <v>16000</v>
      </c>
      <c r="L506" s="60" t="e">
        <f>VLOOKUP(C506,'SALARY DETALES'!B506:C979,2,0)</f>
        <v>#N/A</v>
      </c>
      <c r="O506" s="62" t="str">
        <f>VLOOKUP(C506,'SALARY DETALES'!$B$2:$D$475,3,0)</f>
        <v>B/W</v>
      </c>
    </row>
    <row r="507" spans="2:20" x14ac:dyDescent="0.3">
      <c r="B507" s="55">
        <v>506</v>
      </c>
      <c r="C507" s="55">
        <v>80777</v>
      </c>
      <c r="D507" t="s">
        <v>741</v>
      </c>
      <c r="E507" t="s">
        <v>88</v>
      </c>
      <c r="F507" t="s">
        <v>1531</v>
      </c>
      <c r="G507" s="55">
        <v>0</v>
      </c>
      <c r="H507" s="55" t="s">
        <v>1816</v>
      </c>
      <c r="J507" s="57">
        <f>VLOOKUP(C507,'SALARY DETALES'!$B$2:$S$475,18,0)</f>
        <v>16000</v>
      </c>
      <c r="L507" s="60" t="e">
        <f>VLOOKUP(C507,'SALARY DETALES'!B507:C980,2,0)</f>
        <v>#N/A</v>
      </c>
      <c r="O507" s="62" t="str">
        <f>VLOOKUP(C507,'SALARY DETALES'!$B$2:$D$475,3,0)</f>
        <v>BW/F</v>
      </c>
      <c r="P507" t="s">
        <v>1534</v>
      </c>
      <c r="Q507" t="s">
        <v>1535</v>
      </c>
    </row>
    <row r="508" spans="2:20" hidden="1" x14ac:dyDescent="0.3">
      <c r="B508" s="55">
        <v>507</v>
      </c>
      <c r="C508" s="55">
        <v>80779</v>
      </c>
      <c r="D508" t="s">
        <v>741</v>
      </c>
      <c r="E508" t="s">
        <v>1770</v>
      </c>
      <c r="F508" t="s">
        <v>1531</v>
      </c>
      <c r="G508" s="55">
        <v>0</v>
      </c>
      <c r="H508" s="55" t="s">
        <v>1816</v>
      </c>
      <c r="J508" s="57" t="e">
        <f>VLOOKUP(C508,'SALARY DETALES'!$B$2:$S$475,18,0)</f>
        <v>#N/A</v>
      </c>
      <c r="L508" s="60" t="e">
        <f>VLOOKUP(C508,'SALARY DETALES'!B508:C981,2,0)</f>
        <v>#N/A</v>
      </c>
      <c r="O508" s="62" t="e">
        <f>VLOOKUP(C508,'SALARY DETALES'!$B$2:$D$475,3,0)</f>
        <v>#N/A</v>
      </c>
      <c r="P508" t="s">
        <v>1536</v>
      </c>
      <c r="Q508" t="s">
        <v>1537</v>
      </c>
    </row>
    <row r="509" spans="2:20" x14ac:dyDescent="0.3">
      <c r="B509" s="55">
        <v>508</v>
      </c>
      <c r="C509" s="55">
        <v>80780</v>
      </c>
      <c r="D509" t="s">
        <v>741</v>
      </c>
      <c r="E509" t="s">
        <v>564</v>
      </c>
      <c r="F509" t="s">
        <v>1538</v>
      </c>
      <c r="G509" s="55">
        <v>0</v>
      </c>
      <c r="H509" s="55" t="s">
        <v>1816</v>
      </c>
      <c r="J509" s="57">
        <f>VLOOKUP(C509,'SALARY DETALES'!$B$2:$S$475,18,0)</f>
        <v>16000</v>
      </c>
      <c r="L509" s="60" t="e">
        <f>VLOOKUP(C509,'SALARY DETALES'!B509:C982,2,0)</f>
        <v>#N/A</v>
      </c>
      <c r="O509" s="62" t="str">
        <f>VLOOKUP(C509,'SALARY DETALES'!$B$2:$D$475,3,0)</f>
        <v>BW/B</v>
      </c>
      <c r="P509" t="s">
        <v>1539</v>
      </c>
      <c r="Q509" t="s">
        <v>1540</v>
      </c>
    </row>
    <row r="510" spans="2:20" x14ac:dyDescent="0.3">
      <c r="B510" s="55">
        <v>509</v>
      </c>
      <c r="C510" s="55">
        <v>80781</v>
      </c>
      <c r="D510" t="s">
        <v>741</v>
      </c>
      <c r="E510" t="s">
        <v>565</v>
      </c>
      <c r="F510" t="s">
        <v>1179</v>
      </c>
      <c r="G510" s="55">
        <v>0</v>
      </c>
      <c r="H510" s="55" t="s">
        <v>1816</v>
      </c>
      <c r="J510" s="57">
        <f>VLOOKUP(C510,'SALARY DETALES'!$B$2:$S$475,18,0)</f>
        <v>18000</v>
      </c>
      <c r="L510" s="60" t="e">
        <f>VLOOKUP(C510,'SALARY DETALES'!B510:C983,2,0)</f>
        <v>#N/A</v>
      </c>
      <c r="O510" s="62" t="str">
        <f>VLOOKUP(C510,'SALARY DETALES'!$B$2:$D$475,3,0)</f>
        <v>BW/B</v>
      </c>
      <c r="P510" t="s">
        <v>1541</v>
      </c>
      <c r="Q510" t="s">
        <v>1542</v>
      </c>
      <c r="R510" t="s">
        <v>1543</v>
      </c>
    </row>
    <row r="511" spans="2:20" x14ac:dyDescent="0.3">
      <c r="B511" s="55">
        <v>510</v>
      </c>
      <c r="C511" s="55">
        <v>80782</v>
      </c>
      <c r="D511" t="s">
        <v>741</v>
      </c>
      <c r="E511" t="s">
        <v>320</v>
      </c>
      <c r="F511" t="s">
        <v>1533</v>
      </c>
      <c r="G511" s="55">
        <v>0</v>
      </c>
      <c r="H511" s="55" t="s">
        <v>1816</v>
      </c>
      <c r="J511" s="57">
        <f>VLOOKUP(C511,'SALARY DETALES'!$B$2:$S$475,18,0)</f>
        <v>15000</v>
      </c>
      <c r="L511" s="60" t="e">
        <f>VLOOKUP(C511,'SALARY DETALES'!B511:C984,2,0)</f>
        <v>#N/A</v>
      </c>
      <c r="O511" s="62" t="str">
        <f>VLOOKUP(C511,'SALARY DETALES'!$B$2:$D$475,3,0)</f>
        <v>internee</v>
      </c>
      <c r="P511" t="s">
        <v>1544</v>
      </c>
      <c r="Q511" t="s">
        <v>1545</v>
      </c>
      <c r="R511" t="s">
        <v>1546</v>
      </c>
    </row>
    <row r="512" spans="2:20" x14ac:dyDescent="0.3">
      <c r="B512" s="55">
        <v>511</v>
      </c>
      <c r="C512" s="55">
        <v>80783</v>
      </c>
      <c r="D512" t="s">
        <v>741</v>
      </c>
      <c r="E512" t="s">
        <v>525</v>
      </c>
      <c r="F512" t="s">
        <v>1538</v>
      </c>
      <c r="G512" s="55">
        <v>0</v>
      </c>
      <c r="H512" s="55" t="s">
        <v>1816</v>
      </c>
      <c r="J512" s="57">
        <f>VLOOKUP(C512,'SALARY DETALES'!$B$2:$S$475,18,0)</f>
        <v>16000</v>
      </c>
      <c r="L512" s="60" t="e">
        <f>VLOOKUP(C512,'SALARY DETALES'!B512:C985,2,0)</f>
        <v>#N/A</v>
      </c>
      <c r="O512" s="62" t="str">
        <f>VLOOKUP(C512,'SALARY DETALES'!$B$2:$D$475,3,0)</f>
        <v>B/W</v>
      </c>
      <c r="Q512" t="s">
        <v>1547</v>
      </c>
    </row>
    <row r="513" spans="2:20" x14ac:dyDescent="0.3">
      <c r="B513" s="55">
        <v>512</v>
      </c>
      <c r="C513" s="55">
        <v>80784</v>
      </c>
      <c r="D513" t="s">
        <v>741</v>
      </c>
      <c r="E513" t="s">
        <v>566</v>
      </c>
      <c r="F513" t="s">
        <v>1538</v>
      </c>
      <c r="G513" s="55">
        <v>0</v>
      </c>
      <c r="H513" s="55" t="s">
        <v>1816</v>
      </c>
      <c r="J513" s="57">
        <f>VLOOKUP(C513,'SALARY DETALES'!$B$2:$S$475,18,0)</f>
        <v>25000</v>
      </c>
      <c r="L513" s="60" t="e">
        <f>VLOOKUP(C513,'SALARY DETALES'!B513:C986,2,0)</f>
        <v>#N/A</v>
      </c>
      <c r="O513" s="62" t="str">
        <f>VLOOKUP(C513,'SALARY DETALES'!$B$2:$D$475,3,0)</f>
        <v>O/T</v>
      </c>
      <c r="Q513" t="s">
        <v>1548</v>
      </c>
    </row>
    <row r="514" spans="2:20" x14ac:dyDescent="0.3">
      <c r="B514" s="55">
        <v>513</v>
      </c>
      <c r="C514" s="55">
        <v>80785</v>
      </c>
      <c r="D514" t="s">
        <v>741</v>
      </c>
      <c r="E514" t="s">
        <v>526</v>
      </c>
      <c r="F514" t="s">
        <v>1549</v>
      </c>
      <c r="G514" s="55">
        <v>0</v>
      </c>
      <c r="H514" s="55" t="s">
        <v>1816</v>
      </c>
      <c r="J514" s="57">
        <f>VLOOKUP(C514,'SALARY DETALES'!$B$2:$S$475,18,0)</f>
        <v>16000</v>
      </c>
      <c r="L514" s="60" t="e">
        <f>VLOOKUP(C514,'SALARY DETALES'!B514:C987,2,0)</f>
        <v>#N/A</v>
      </c>
      <c r="O514" s="62" t="str">
        <f>VLOOKUP(C514,'SALARY DETALES'!$B$2:$D$475,3,0)</f>
        <v>B/W</v>
      </c>
    </row>
    <row r="515" spans="2:20" x14ac:dyDescent="0.3">
      <c r="B515" s="55">
        <v>514</v>
      </c>
      <c r="C515" s="55">
        <v>80786</v>
      </c>
      <c r="D515" t="s">
        <v>741</v>
      </c>
      <c r="E515" t="s">
        <v>527</v>
      </c>
      <c r="F515" t="s">
        <v>1531</v>
      </c>
      <c r="G515" s="55">
        <v>0</v>
      </c>
      <c r="H515" s="55" t="s">
        <v>1816</v>
      </c>
      <c r="J515" s="57">
        <f>VLOOKUP(C515,'SALARY DETALES'!$B$2:$S$475,18,0)</f>
        <v>16000</v>
      </c>
      <c r="L515" s="60" t="e">
        <f>VLOOKUP(C515,'SALARY DETALES'!B515:C988,2,0)</f>
        <v>#N/A</v>
      </c>
      <c r="O515" s="62" t="str">
        <f>VLOOKUP(C515,'SALARY DETALES'!$B$2:$D$475,3,0)</f>
        <v>B/W</v>
      </c>
    </row>
    <row r="516" spans="2:20" x14ac:dyDescent="0.3">
      <c r="B516" s="55">
        <v>515</v>
      </c>
      <c r="C516" s="55">
        <v>80788</v>
      </c>
      <c r="D516" t="s">
        <v>741</v>
      </c>
      <c r="E516" t="s">
        <v>61</v>
      </c>
      <c r="F516" t="s">
        <v>1549</v>
      </c>
      <c r="G516" s="55">
        <v>0</v>
      </c>
      <c r="H516" s="55" t="s">
        <v>1816</v>
      </c>
      <c r="J516" s="57">
        <f>VLOOKUP(C516,'SALARY DETALES'!$B$2:$S$475,18,0)</f>
        <v>16000</v>
      </c>
      <c r="L516" s="60" t="e">
        <f>VLOOKUP(C516,'SALARY DETALES'!B516:C989,2,0)</f>
        <v>#N/A</v>
      </c>
      <c r="O516" s="62" t="str">
        <f>VLOOKUP(C516,'SALARY DETALES'!$B$2:$D$475,3,0)</f>
        <v>B/W</v>
      </c>
    </row>
    <row r="517" spans="2:20" x14ac:dyDescent="0.3">
      <c r="B517" s="55">
        <v>516</v>
      </c>
      <c r="C517" s="55">
        <v>80789</v>
      </c>
      <c r="D517" t="s">
        <v>741</v>
      </c>
      <c r="E517" t="s">
        <v>284</v>
      </c>
      <c r="F517" t="s">
        <v>1550</v>
      </c>
      <c r="G517" s="55">
        <v>0</v>
      </c>
      <c r="H517" s="55" t="s">
        <v>1816</v>
      </c>
      <c r="J517" s="57">
        <f>VLOOKUP(C517,'SALARY DETALES'!$B$2:$S$475,18,0)</f>
        <v>16000</v>
      </c>
      <c r="L517" s="60" t="e">
        <f>VLOOKUP(C517,'SALARY DETALES'!B517:C990,2,0)</f>
        <v>#N/A</v>
      </c>
      <c r="O517" s="62" t="str">
        <f>VLOOKUP(C517,'SALARY DETALES'!$B$2:$D$475,3,0)</f>
        <v>B/W</v>
      </c>
    </row>
    <row r="518" spans="2:20" x14ac:dyDescent="0.3">
      <c r="B518" s="55">
        <v>517</v>
      </c>
      <c r="C518" s="55">
        <v>80790</v>
      </c>
      <c r="D518" t="s">
        <v>741</v>
      </c>
      <c r="E518" t="s">
        <v>423</v>
      </c>
      <c r="F518" t="s">
        <v>1549</v>
      </c>
      <c r="G518" s="55">
        <v>0</v>
      </c>
      <c r="H518" s="55" t="s">
        <v>1816</v>
      </c>
      <c r="J518" s="57">
        <f>VLOOKUP(C518,'SALARY DETALES'!$B$2:$S$475,18,0)</f>
        <v>23000</v>
      </c>
      <c r="L518" s="60" t="e">
        <f>VLOOKUP(C518,'SALARY DETALES'!B518:C991,2,0)</f>
        <v>#N/A</v>
      </c>
      <c r="O518" s="62" t="str">
        <f>VLOOKUP(C518,'SALARY DETALES'!$B$2:$D$475,3,0)</f>
        <v>O/T</v>
      </c>
    </row>
    <row r="519" spans="2:20" x14ac:dyDescent="0.3">
      <c r="B519" s="55">
        <v>518</v>
      </c>
      <c r="C519" s="55">
        <v>80791</v>
      </c>
      <c r="D519" t="s">
        <v>741</v>
      </c>
      <c r="E519" t="s">
        <v>424</v>
      </c>
      <c r="F519" t="s">
        <v>1551</v>
      </c>
      <c r="G519" s="55">
        <v>0</v>
      </c>
      <c r="H519" s="55" t="s">
        <v>1816</v>
      </c>
      <c r="J519" s="57">
        <f>VLOOKUP(C519,'SALARY DETALES'!$B$2:$S$475,18,0)</f>
        <v>23000</v>
      </c>
      <c r="L519" s="60" t="e">
        <f>VLOOKUP(C519,'SALARY DETALES'!B519:C992,2,0)</f>
        <v>#N/A</v>
      </c>
      <c r="O519" s="62" t="str">
        <f>VLOOKUP(C519,'SALARY DETALES'!$B$2:$D$475,3,0)</f>
        <v>O/T</v>
      </c>
    </row>
    <row r="520" spans="2:20" x14ac:dyDescent="0.3">
      <c r="B520" s="55">
        <v>519</v>
      </c>
      <c r="C520" s="55">
        <v>80792</v>
      </c>
      <c r="D520" t="s">
        <v>741</v>
      </c>
      <c r="E520" t="s">
        <v>367</v>
      </c>
      <c r="F520" t="s">
        <v>1551</v>
      </c>
      <c r="G520" s="55">
        <v>0</v>
      </c>
      <c r="H520" s="55" t="s">
        <v>1816</v>
      </c>
      <c r="J520" s="57">
        <f>VLOOKUP(C520,'SALARY DETALES'!$B$2:$S$475,18,0)</f>
        <v>16000</v>
      </c>
      <c r="L520" s="60" t="e">
        <f>VLOOKUP(C520,'SALARY DETALES'!B520:C993,2,0)</f>
        <v>#N/A</v>
      </c>
      <c r="O520" s="62" t="str">
        <f>VLOOKUP(C520,'SALARY DETALES'!$B$2:$D$475,3,0)</f>
        <v>B/W</v>
      </c>
    </row>
    <row r="521" spans="2:20" x14ac:dyDescent="0.3">
      <c r="B521" s="55">
        <v>520</v>
      </c>
      <c r="C521" s="55">
        <v>80793</v>
      </c>
      <c r="D521" t="s">
        <v>741</v>
      </c>
      <c r="E521" t="s">
        <v>285</v>
      </c>
      <c r="F521" t="s">
        <v>1552</v>
      </c>
      <c r="G521" s="55">
        <v>0</v>
      </c>
      <c r="H521" s="55" t="s">
        <v>1816</v>
      </c>
      <c r="J521" s="57">
        <f>VLOOKUP(C521,'SALARY DETALES'!$B$2:$S$475,18,0)</f>
        <v>16000</v>
      </c>
      <c r="L521" s="60" t="e">
        <f>VLOOKUP(C521,'SALARY DETALES'!B521:C994,2,0)</f>
        <v>#N/A</v>
      </c>
      <c r="O521" s="62" t="str">
        <f>VLOOKUP(C521,'SALARY DETALES'!$B$2:$D$475,3,0)</f>
        <v>B/W</v>
      </c>
    </row>
    <row r="522" spans="2:20" x14ac:dyDescent="0.3">
      <c r="B522" s="55">
        <v>521</v>
      </c>
      <c r="C522" s="55">
        <v>80794</v>
      </c>
      <c r="D522" t="s">
        <v>741</v>
      </c>
      <c r="E522" t="s">
        <v>177</v>
      </c>
      <c r="F522" t="s">
        <v>1531</v>
      </c>
      <c r="G522" s="55">
        <v>0</v>
      </c>
      <c r="H522" s="55" t="s">
        <v>1816</v>
      </c>
      <c r="J522" s="57">
        <f>VLOOKUP(C522,'SALARY DETALES'!$B$2:$S$475,18,0)</f>
        <v>15000</v>
      </c>
      <c r="L522" s="60" t="e">
        <f>VLOOKUP(C522,'SALARY DETALES'!B522:C995,2,0)</f>
        <v>#N/A</v>
      </c>
      <c r="O522" s="62" t="str">
        <f>VLOOKUP(C522,'SALARY DETALES'!$B$2:$D$475,3,0)</f>
        <v>INTERNSHIP</v>
      </c>
    </row>
    <row r="523" spans="2:20" x14ac:dyDescent="0.3">
      <c r="B523" s="55">
        <v>522</v>
      </c>
      <c r="C523" s="55">
        <v>80795</v>
      </c>
      <c r="D523" t="s">
        <v>741</v>
      </c>
      <c r="E523" t="s">
        <v>201</v>
      </c>
      <c r="F523" t="s">
        <v>1530</v>
      </c>
      <c r="G523" s="55">
        <v>0</v>
      </c>
      <c r="H523" s="55" t="s">
        <v>1816</v>
      </c>
      <c r="J523" s="57">
        <f>VLOOKUP(C523,'SALARY DETALES'!$B$2:$S$475,18,0)</f>
        <v>15000</v>
      </c>
      <c r="L523" s="60" t="e">
        <f>VLOOKUP(C523,'SALARY DETALES'!B523:C996,2,0)</f>
        <v>#N/A</v>
      </c>
      <c r="O523" s="62" t="str">
        <f>VLOOKUP(C523,'SALARY DETALES'!$B$2:$D$475,3,0)</f>
        <v>INTERNSHIP</v>
      </c>
      <c r="Q523" t="s">
        <v>1553</v>
      </c>
    </row>
    <row r="524" spans="2:20" x14ac:dyDescent="0.3">
      <c r="B524" s="55">
        <v>523</v>
      </c>
      <c r="C524" s="55">
        <v>80796</v>
      </c>
      <c r="D524" t="s">
        <v>741</v>
      </c>
      <c r="E524" t="s">
        <v>469</v>
      </c>
      <c r="F524" t="s">
        <v>1533</v>
      </c>
      <c r="G524" s="55">
        <v>0</v>
      </c>
      <c r="H524" s="55" t="s">
        <v>1816</v>
      </c>
      <c r="J524" s="57">
        <f>VLOOKUP(C524,'SALARY DETALES'!$B$2:$S$475,18,0)</f>
        <v>16000</v>
      </c>
      <c r="L524" s="60" t="e">
        <f>VLOOKUP(C524,'SALARY DETALES'!B524:C997,2,0)</f>
        <v>#N/A</v>
      </c>
      <c r="O524" s="62" t="str">
        <f>VLOOKUP(C524,'SALARY DETALES'!$B$2:$D$475,3,0)</f>
        <v>Runner</v>
      </c>
    </row>
    <row r="525" spans="2:20" x14ac:dyDescent="0.3">
      <c r="B525" s="55">
        <v>524</v>
      </c>
      <c r="C525" s="55">
        <v>80797</v>
      </c>
      <c r="D525" t="s">
        <v>741</v>
      </c>
      <c r="E525" t="s">
        <v>97</v>
      </c>
      <c r="F525" t="s">
        <v>1526</v>
      </c>
      <c r="G525" s="55">
        <v>0</v>
      </c>
      <c r="H525" s="55" t="s">
        <v>1816</v>
      </c>
      <c r="J525" s="57">
        <f>VLOOKUP(C525,'SALARY DETALES'!$B$2:$S$475,18,0)</f>
        <v>25000</v>
      </c>
      <c r="L525" s="60" t="e">
        <f>VLOOKUP(C525,'SALARY DETALES'!B525:C998,2,0)</f>
        <v>#N/A</v>
      </c>
      <c r="O525" s="62" t="str">
        <f>VLOOKUP(C525,'SALARY DETALES'!$B$2:$D$475,3,0)</f>
        <v>Assembler</v>
      </c>
    </row>
    <row r="526" spans="2:20" x14ac:dyDescent="0.3">
      <c r="B526" s="55">
        <v>525</v>
      </c>
      <c r="C526" s="55">
        <v>80798</v>
      </c>
      <c r="D526" t="s">
        <v>741</v>
      </c>
      <c r="E526" t="s">
        <v>636</v>
      </c>
      <c r="F526" t="s">
        <v>1533</v>
      </c>
      <c r="G526" s="55">
        <v>0</v>
      </c>
      <c r="H526" s="55" t="s">
        <v>1816</v>
      </c>
      <c r="J526" s="57">
        <f>VLOOKUP(C526,'SALARY DETALES'!$B$2:$S$475,18,0)</f>
        <v>16000</v>
      </c>
      <c r="L526" s="60" t="e">
        <f>VLOOKUP(C526,'SALARY DETALES'!B526:C999,2,0)</f>
        <v>#N/A</v>
      </c>
      <c r="O526" s="62" t="str">
        <f>VLOOKUP(C526,'SALARY DETALES'!$B$2:$D$475,3,0)</f>
        <v>BST</v>
      </c>
    </row>
    <row r="527" spans="2:20" x14ac:dyDescent="0.3">
      <c r="B527" s="55">
        <v>526</v>
      </c>
      <c r="C527" s="55">
        <v>80799</v>
      </c>
      <c r="D527" t="s">
        <v>741</v>
      </c>
      <c r="E527" t="s">
        <v>613</v>
      </c>
      <c r="F527" t="s">
        <v>1554</v>
      </c>
      <c r="G527" s="55">
        <v>0</v>
      </c>
      <c r="H527" s="55" t="s">
        <v>1816</v>
      </c>
      <c r="J527" s="57">
        <f>VLOOKUP(C527,'SALARY DETALES'!$B$2:$S$475,18,0)</f>
        <v>16000</v>
      </c>
      <c r="L527" s="60" t="e">
        <f>VLOOKUP(C527,'SALARY DETALES'!B527:C1000,2,0)</f>
        <v>#N/A</v>
      </c>
      <c r="O527" s="62" t="str">
        <f>VLOOKUP(C527,'SALARY DETALES'!$B$2:$D$475,3,0)</f>
        <v>B/W</v>
      </c>
    </row>
    <row r="528" spans="2:20" x14ac:dyDescent="0.3">
      <c r="B528" s="55">
        <v>527</v>
      </c>
      <c r="C528" s="55">
        <v>80800</v>
      </c>
      <c r="D528" t="s">
        <v>741</v>
      </c>
      <c r="E528" t="s">
        <v>349</v>
      </c>
      <c r="F528" t="s">
        <v>1530</v>
      </c>
      <c r="G528" s="55">
        <v>0</v>
      </c>
      <c r="H528" s="55" t="s">
        <v>1816</v>
      </c>
      <c r="J528" s="57">
        <f>VLOOKUP(C528,'SALARY DETALES'!$B$2:$S$475,18,0)</f>
        <v>15000</v>
      </c>
      <c r="L528" s="60" t="e">
        <f>VLOOKUP(C528,'SALARY DETALES'!B528:C1001,2,0)</f>
        <v>#N/A</v>
      </c>
      <c r="O528" s="62" t="str">
        <f>VLOOKUP(C528,'SALARY DETALES'!$B$2:$D$475,3,0)</f>
        <v>helper</v>
      </c>
      <c r="T528" t="s">
        <v>176</v>
      </c>
    </row>
    <row r="529" spans="2:17" x14ac:dyDescent="0.3">
      <c r="B529" s="55">
        <v>528</v>
      </c>
      <c r="C529" s="55">
        <v>80801</v>
      </c>
      <c r="D529" t="s">
        <v>741</v>
      </c>
      <c r="E529" t="s">
        <v>471</v>
      </c>
      <c r="F529" t="s">
        <v>1555</v>
      </c>
      <c r="G529" s="55">
        <v>0</v>
      </c>
      <c r="H529" s="55" t="s">
        <v>1816</v>
      </c>
      <c r="J529" s="57">
        <f>VLOOKUP(C529,'SALARY DETALES'!$B$2:$S$475,18,0)</f>
        <v>16000</v>
      </c>
      <c r="L529" s="60" t="e">
        <f>VLOOKUP(C529,'SALARY DETALES'!B529:C1002,2,0)</f>
        <v>#N/A</v>
      </c>
      <c r="O529" s="62" t="str">
        <f>VLOOKUP(C529,'SALARY DETALES'!$B$2:$D$475,3,0)</f>
        <v>DISPATCH</v>
      </c>
    </row>
    <row r="530" spans="2:17" x14ac:dyDescent="0.3">
      <c r="B530" s="55">
        <v>529</v>
      </c>
      <c r="C530" s="55">
        <v>80802</v>
      </c>
      <c r="D530" t="s">
        <v>741</v>
      </c>
      <c r="E530" t="s">
        <v>361</v>
      </c>
      <c r="F530" t="s">
        <v>1538</v>
      </c>
      <c r="G530" s="55">
        <v>0</v>
      </c>
      <c r="H530" s="55" t="s">
        <v>1816</v>
      </c>
      <c r="J530" s="57">
        <f>VLOOKUP(C530,'SALARY DETALES'!$B$2:$S$475,18,0)</f>
        <v>15000</v>
      </c>
      <c r="L530" s="60" t="e">
        <f>VLOOKUP(C530,'SALARY DETALES'!B530:C1003,2,0)</f>
        <v>#N/A</v>
      </c>
      <c r="O530" s="62" t="str">
        <f>VLOOKUP(C530,'SALARY DETALES'!$B$2:$D$475,3,0)</f>
        <v>INTERNSHIP</v>
      </c>
    </row>
    <row r="531" spans="2:17" hidden="1" x14ac:dyDescent="0.3">
      <c r="B531" s="55">
        <v>530</v>
      </c>
      <c r="C531" s="55">
        <v>80803</v>
      </c>
      <c r="D531" t="s">
        <v>741</v>
      </c>
      <c r="E531" t="s">
        <v>1771</v>
      </c>
      <c r="F531" t="s">
        <v>1533</v>
      </c>
      <c r="G531" s="55">
        <v>0</v>
      </c>
      <c r="H531" s="55" t="s">
        <v>1816</v>
      </c>
      <c r="J531" s="57" t="e">
        <f>VLOOKUP(C531,'SALARY DETALES'!$B$2:$S$475,18,0)</f>
        <v>#N/A</v>
      </c>
      <c r="L531" s="60" t="e">
        <f>VLOOKUP(C531,'SALARY DETALES'!B531:C1004,2,0)</f>
        <v>#N/A</v>
      </c>
      <c r="O531" s="62" t="e">
        <f>VLOOKUP(C531,'SALARY DETALES'!$B$2:$D$475,3,0)</f>
        <v>#N/A</v>
      </c>
      <c r="P531" t="s">
        <v>1556</v>
      </c>
    </row>
    <row r="532" spans="2:17" hidden="1" x14ac:dyDescent="0.3">
      <c r="B532" s="55">
        <v>531</v>
      </c>
      <c r="C532" s="55">
        <v>80804</v>
      </c>
      <c r="D532" t="s">
        <v>719</v>
      </c>
      <c r="E532" t="s">
        <v>1772</v>
      </c>
      <c r="F532" t="s">
        <v>1557</v>
      </c>
      <c r="G532" s="55">
        <v>0</v>
      </c>
      <c r="H532" s="55" t="s">
        <v>1816</v>
      </c>
      <c r="J532" s="57" t="e">
        <f>VLOOKUP(C532,'SALARY DETALES'!$B$2:$S$475,18,0)</f>
        <v>#N/A</v>
      </c>
      <c r="L532" s="60" t="e">
        <f>VLOOKUP(C532,'SALARY DETALES'!B532:C1005,2,0)</f>
        <v>#N/A</v>
      </c>
      <c r="O532" s="62" t="e">
        <f>VLOOKUP(C532,'SALARY DETALES'!$B$2:$D$475,3,0)</f>
        <v>#N/A</v>
      </c>
    </row>
    <row r="533" spans="2:17" hidden="1" x14ac:dyDescent="0.3">
      <c r="B533" s="55">
        <v>532</v>
      </c>
      <c r="C533" s="55">
        <v>80805</v>
      </c>
      <c r="D533" t="s">
        <v>741</v>
      </c>
      <c r="E533" t="s">
        <v>1773</v>
      </c>
      <c r="F533" t="s">
        <v>1533</v>
      </c>
      <c r="G533" s="55">
        <v>0</v>
      </c>
      <c r="H533" s="55" t="s">
        <v>1816</v>
      </c>
      <c r="J533" s="57" t="e">
        <f>VLOOKUP(C533,'SALARY DETALES'!$B$2:$S$475,18,0)</f>
        <v>#N/A</v>
      </c>
      <c r="L533" s="60" t="e">
        <f>VLOOKUP(C533,'SALARY DETALES'!B533:C1006,2,0)</f>
        <v>#N/A</v>
      </c>
      <c r="O533" s="62" t="e">
        <f>VLOOKUP(C533,'SALARY DETALES'!$B$2:$D$475,3,0)</f>
        <v>#N/A</v>
      </c>
    </row>
    <row r="534" spans="2:17" hidden="1" x14ac:dyDescent="0.3">
      <c r="B534" s="55">
        <v>533</v>
      </c>
      <c r="C534" s="55">
        <v>80806</v>
      </c>
      <c r="D534" t="s">
        <v>741</v>
      </c>
      <c r="E534" t="s">
        <v>1774</v>
      </c>
      <c r="F534" t="s">
        <v>1558</v>
      </c>
      <c r="G534" s="55">
        <v>0</v>
      </c>
      <c r="H534" s="55" t="s">
        <v>1816</v>
      </c>
      <c r="J534" s="57" t="e">
        <f>VLOOKUP(C534,'SALARY DETALES'!$B$2:$S$475,18,0)</f>
        <v>#N/A</v>
      </c>
      <c r="L534" s="60" t="e">
        <f>VLOOKUP(C534,'SALARY DETALES'!B534:C1007,2,0)</f>
        <v>#N/A</v>
      </c>
      <c r="O534" s="62" t="e">
        <f>VLOOKUP(C534,'SALARY DETALES'!$B$2:$D$475,3,0)</f>
        <v>#N/A</v>
      </c>
    </row>
    <row r="535" spans="2:17" hidden="1" x14ac:dyDescent="0.3">
      <c r="B535" s="55">
        <v>534</v>
      </c>
      <c r="C535" s="55">
        <v>80807</v>
      </c>
      <c r="D535" t="s">
        <v>741</v>
      </c>
      <c r="E535" t="s">
        <v>1775</v>
      </c>
      <c r="F535" t="s">
        <v>1558</v>
      </c>
      <c r="G535" s="55">
        <v>0</v>
      </c>
      <c r="H535" s="55" t="s">
        <v>1816</v>
      </c>
      <c r="J535" s="57" t="e">
        <f>VLOOKUP(C535,'SALARY DETALES'!$B$2:$S$475,18,0)</f>
        <v>#N/A</v>
      </c>
      <c r="L535" s="60" t="e">
        <f>VLOOKUP(C535,'SALARY DETALES'!B535:C1008,2,0)</f>
        <v>#N/A</v>
      </c>
      <c r="O535" s="62" t="e">
        <f>VLOOKUP(C535,'SALARY DETALES'!$B$2:$D$475,3,0)</f>
        <v>#N/A</v>
      </c>
    </row>
    <row r="536" spans="2:17" hidden="1" x14ac:dyDescent="0.3">
      <c r="B536" s="55">
        <v>535</v>
      </c>
      <c r="C536" s="55">
        <v>80808</v>
      </c>
      <c r="D536" t="s">
        <v>741</v>
      </c>
      <c r="E536" t="s">
        <v>1776</v>
      </c>
      <c r="F536" t="s">
        <v>1551</v>
      </c>
      <c r="G536" s="55">
        <v>0</v>
      </c>
      <c r="H536" s="55" t="s">
        <v>1816</v>
      </c>
      <c r="J536" s="57" t="e">
        <f>VLOOKUP(C536,'SALARY DETALES'!$B$2:$S$475,18,0)</f>
        <v>#N/A</v>
      </c>
      <c r="L536" s="60" t="e">
        <f>VLOOKUP(C536,'SALARY DETALES'!B536:C1009,2,0)</f>
        <v>#N/A</v>
      </c>
      <c r="O536" s="62" t="e">
        <f>VLOOKUP(C536,'SALARY DETALES'!$B$2:$D$475,3,0)</f>
        <v>#N/A</v>
      </c>
    </row>
    <row r="537" spans="2:17" hidden="1" x14ac:dyDescent="0.3">
      <c r="B537" s="55">
        <v>536</v>
      </c>
      <c r="C537" s="55">
        <v>80809</v>
      </c>
      <c r="D537" t="s">
        <v>741</v>
      </c>
      <c r="E537" t="s">
        <v>1769</v>
      </c>
      <c r="F537" t="s">
        <v>878</v>
      </c>
      <c r="G537" s="55">
        <v>0</v>
      </c>
      <c r="H537" s="55" t="s">
        <v>1816</v>
      </c>
      <c r="J537" s="57" t="e">
        <f>VLOOKUP(C537,'SALARY DETALES'!$B$2:$S$475,18,0)</f>
        <v>#N/A</v>
      </c>
      <c r="L537" s="60" t="e">
        <f>VLOOKUP(C537,'SALARY DETALES'!B537:C1010,2,0)</f>
        <v>#N/A</v>
      </c>
      <c r="O537" s="62" t="e">
        <f>VLOOKUP(C537,'SALARY DETALES'!$B$2:$D$475,3,0)</f>
        <v>#N/A</v>
      </c>
      <c r="Q537" t="s">
        <v>1559</v>
      </c>
    </row>
    <row r="538" spans="2:17" hidden="1" x14ac:dyDescent="0.3">
      <c r="B538" s="55">
        <v>537</v>
      </c>
      <c r="C538" s="55">
        <v>80810</v>
      </c>
      <c r="D538" t="s">
        <v>741</v>
      </c>
      <c r="E538" t="s">
        <v>1777</v>
      </c>
      <c r="F538" t="s">
        <v>1550</v>
      </c>
      <c r="G538" s="55">
        <v>0</v>
      </c>
      <c r="H538" s="55" t="s">
        <v>1816</v>
      </c>
      <c r="J538" s="57" t="e">
        <f>VLOOKUP(C538,'SALARY DETALES'!$B$2:$S$475,18,0)</f>
        <v>#N/A</v>
      </c>
      <c r="L538" s="60" t="e">
        <f>VLOOKUP(C538,'SALARY DETALES'!B538:C1011,2,0)</f>
        <v>#N/A</v>
      </c>
      <c r="O538" s="62" t="e">
        <f>VLOOKUP(C538,'SALARY DETALES'!$B$2:$D$475,3,0)</f>
        <v>#N/A</v>
      </c>
      <c r="Q538" t="s">
        <v>1560</v>
      </c>
    </row>
    <row r="539" spans="2:17" hidden="1" x14ac:dyDescent="0.3">
      <c r="B539" s="55">
        <v>538</v>
      </c>
      <c r="C539" s="55">
        <v>80811</v>
      </c>
      <c r="D539" t="s">
        <v>741</v>
      </c>
      <c r="E539" t="s">
        <v>1773</v>
      </c>
      <c r="F539" t="s">
        <v>1179</v>
      </c>
      <c r="G539" s="55">
        <v>0</v>
      </c>
      <c r="H539" s="55" t="s">
        <v>1816</v>
      </c>
      <c r="J539" s="57" t="e">
        <f>VLOOKUP(C539,'SALARY DETALES'!$B$2:$S$475,18,0)</f>
        <v>#N/A</v>
      </c>
      <c r="L539" s="60" t="e">
        <f>VLOOKUP(C539,'SALARY DETALES'!B539:C1012,2,0)</f>
        <v>#N/A</v>
      </c>
      <c r="O539" s="62" t="e">
        <f>VLOOKUP(C539,'SALARY DETALES'!$B$2:$D$475,3,0)</f>
        <v>#N/A</v>
      </c>
      <c r="P539" t="s">
        <v>1561</v>
      </c>
      <c r="Q539" t="s">
        <v>1562</v>
      </c>
    </row>
    <row r="540" spans="2:17" hidden="1" x14ac:dyDescent="0.3">
      <c r="B540" s="55">
        <v>539</v>
      </c>
      <c r="C540" s="55">
        <v>80812</v>
      </c>
      <c r="D540" t="s">
        <v>741</v>
      </c>
      <c r="E540" t="s">
        <v>1778</v>
      </c>
      <c r="F540" t="s">
        <v>1563</v>
      </c>
      <c r="G540" s="55">
        <v>0</v>
      </c>
      <c r="H540" s="55" t="s">
        <v>1816</v>
      </c>
      <c r="J540" s="57" t="e">
        <f>VLOOKUP(C540,'SALARY DETALES'!$B$2:$S$475,18,0)</f>
        <v>#N/A</v>
      </c>
      <c r="L540" s="60" t="e">
        <f>VLOOKUP(C540,'SALARY DETALES'!B540:C1013,2,0)</f>
        <v>#N/A</v>
      </c>
      <c r="O540" s="62" t="e">
        <f>VLOOKUP(C540,'SALARY DETALES'!$B$2:$D$475,3,0)</f>
        <v>#N/A</v>
      </c>
    </row>
    <row r="541" spans="2:17" hidden="1" x14ac:dyDescent="0.3">
      <c r="B541" s="55">
        <v>540</v>
      </c>
      <c r="C541" s="55">
        <v>80813</v>
      </c>
      <c r="D541" t="s">
        <v>741</v>
      </c>
      <c r="E541" t="s">
        <v>1779</v>
      </c>
      <c r="F541" t="s">
        <v>1563</v>
      </c>
      <c r="G541" s="55">
        <v>0</v>
      </c>
      <c r="H541" s="55" t="s">
        <v>1816</v>
      </c>
      <c r="J541" s="57" t="e">
        <f>VLOOKUP(C541,'SALARY DETALES'!$B$2:$S$475,18,0)</f>
        <v>#N/A</v>
      </c>
      <c r="L541" s="60" t="e">
        <f>VLOOKUP(C541,'SALARY DETALES'!B541:C1014,2,0)</f>
        <v>#N/A</v>
      </c>
      <c r="O541" s="62" t="e">
        <f>VLOOKUP(C541,'SALARY DETALES'!$B$2:$D$475,3,0)</f>
        <v>#N/A</v>
      </c>
      <c r="P541" t="s">
        <v>1564</v>
      </c>
      <c r="Q541" t="s">
        <v>1565</v>
      </c>
    </row>
    <row r="542" spans="2:17" hidden="1" x14ac:dyDescent="0.3">
      <c r="B542" s="55">
        <v>541</v>
      </c>
      <c r="C542" s="55">
        <v>80814</v>
      </c>
      <c r="D542" t="s">
        <v>741</v>
      </c>
      <c r="E542" t="s">
        <v>378</v>
      </c>
      <c r="F542" t="s">
        <v>1179</v>
      </c>
      <c r="G542" s="55">
        <v>0</v>
      </c>
      <c r="H542" s="55" t="s">
        <v>1816</v>
      </c>
      <c r="J542" s="57" t="e">
        <f>VLOOKUP(C542,'SALARY DETALES'!$B$2:$S$475,18,0)</f>
        <v>#N/A</v>
      </c>
      <c r="L542" s="60" t="e">
        <f>VLOOKUP(C542,'SALARY DETALES'!B542:C1015,2,0)</f>
        <v>#N/A</v>
      </c>
      <c r="O542" s="62" t="e">
        <f>VLOOKUP(C542,'SALARY DETALES'!$B$2:$D$475,3,0)</f>
        <v>#N/A</v>
      </c>
      <c r="P542" t="s">
        <v>1566</v>
      </c>
      <c r="Q542" t="s">
        <v>1567</v>
      </c>
    </row>
    <row r="543" spans="2:17" x14ac:dyDescent="0.3">
      <c r="B543" s="55">
        <v>542</v>
      </c>
      <c r="C543" s="55">
        <v>80815</v>
      </c>
      <c r="D543" t="s">
        <v>741</v>
      </c>
      <c r="E543" t="s">
        <v>157</v>
      </c>
      <c r="F543" t="s">
        <v>1526</v>
      </c>
      <c r="G543" s="55">
        <v>0</v>
      </c>
      <c r="H543" s="55" t="s">
        <v>1816</v>
      </c>
      <c r="J543" s="57">
        <f>VLOOKUP(C543,'SALARY DETALES'!$B$2:$S$475,18,0)</f>
        <v>25000</v>
      </c>
      <c r="L543" s="60" t="e">
        <f>VLOOKUP(C543,'SALARY DETALES'!B543:C1016,2,0)</f>
        <v>#N/A</v>
      </c>
      <c r="O543" s="62" t="str">
        <f>VLOOKUP(C543,'SALARY DETALES'!$B$2:$D$475,3,0)</f>
        <v>CASHIER</v>
      </c>
      <c r="P543" t="s">
        <v>1568</v>
      </c>
    </row>
    <row r="544" spans="2:17" x14ac:dyDescent="0.3">
      <c r="B544" s="55">
        <v>543</v>
      </c>
      <c r="C544" s="55">
        <v>80816</v>
      </c>
      <c r="D544" t="s">
        <v>741</v>
      </c>
      <c r="E544" t="s">
        <v>158</v>
      </c>
      <c r="F544" t="s">
        <v>1531</v>
      </c>
      <c r="G544" s="55">
        <v>0</v>
      </c>
      <c r="H544" s="55" t="s">
        <v>1816</v>
      </c>
      <c r="J544" s="57">
        <f>VLOOKUP(C544,'SALARY DETALES'!$B$2:$S$475,18,0)</f>
        <v>30000</v>
      </c>
      <c r="L544" s="60" t="e">
        <f>VLOOKUP(C544,'SALARY DETALES'!B544:C1017,2,0)</f>
        <v>#N/A</v>
      </c>
      <c r="O544" s="62" t="str">
        <f>VLOOKUP(C544,'SALARY DETALES'!$B$2:$D$475,3,0)</f>
        <v>CASHIER</v>
      </c>
      <c r="P544" t="s">
        <v>1569</v>
      </c>
    </row>
    <row r="545" spans="2:17" hidden="1" x14ac:dyDescent="0.3">
      <c r="B545" s="55">
        <v>544</v>
      </c>
      <c r="C545" s="55">
        <v>80817</v>
      </c>
      <c r="D545" t="s">
        <v>741</v>
      </c>
      <c r="E545" t="s">
        <v>1780</v>
      </c>
      <c r="F545" t="s">
        <v>1570</v>
      </c>
      <c r="G545" s="55">
        <v>0</v>
      </c>
      <c r="H545" s="55" t="s">
        <v>1816</v>
      </c>
      <c r="J545" s="57" t="e">
        <f>VLOOKUP(C545,'SALARY DETALES'!$B$2:$S$475,18,0)</f>
        <v>#N/A</v>
      </c>
      <c r="L545" s="60" t="e">
        <f>VLOOKUP(C545,'SALARY DETALES'!B545:C1018,2,0)</f>
        <v>#N/A</v>
      </c>
      <c r="O545" s="62" t="e">
        <f>VLOOKUP(C545,'SALARY DETALES'!$B$2:$D$475,3,0)</f>
        <v>#N/A</v>
      </c>
      <c r="P545" t="s">
        <v>1571</v>
      </c>
      <c r="Q545" t="s">
        <v>1572</v>
      </c>
    </row>
    <row r="546" spans="2:17" hidden="1" x14ac:dyDescent="0.3">
      <c r="B546" s="55">
        <v>545</v>
      </c>
      <c r="C546" s="55">
        <v>80818</v>
      </c>
      <c r="D546" t="s">
        <v>741</v>
      </c>
      <c r="E546" t="s">
        <v>1781</v>
      </c>
      <c r="F546" t="s">
        <v>1558</v>
      </c>
      <c r="G546" s="55">
        <v>0</v>
      </c>
      <c r="H546" s="55" t="s">
        <v>1816</v>
      </c>
      <c r="J546" s="57" t="e">
        <f>VLOOKUP(C546,'SALARY DETALES'!$B$2:$S$475,18,0)</f>
        <v>#N/A</v>
      </c>
      <c r="L546" s="60" t="e">
        <f>VLOOKUP(C546,'SALARY DETALES'!B546:C1019,2,0)</f>
        <v>#N/A</v>
      </c>
      <c r="O546" s="62" t="e">
        <f>VLOOKUP(C546,'SALARY DETALES'!$B$2:$D$475,3,0)</f>
        <v>#N/A</v>
      </c>
      <c r="P546" t="s">
        <v>1573</v>
      </c>
      <c r="Q546" t="s">
        <v>1574</v>
      </c>
    </row>
    <row r="547" spans="2:17" hidden="1" x14ac:dyDescent="0.3">
      <c r="B547" s="55">
        <v>546</v>
      </c>
      <c r="C547" s="55">
        <v>80819</v>
      </c>
      <c r="D547" t="s">
        <v>741</v>
      </c>
      <c r="E547" t="s">
        <v>1782</v>
      </c>
      <c r="F547" t="s">
        <v>1549</v>
      </c>
      <c r="G547" s="55">
        <v>0</v>
      </c>
      <c r="H547" s="55" t="s">
        <v>1816</v>
      </c>
      <c r="J547" s="57" t="e">
        <f>VLOOKUP(C547,'SALARY DETALES'!$B$2:$S$475,18,0)</f>
        <v>#N/A</v>
      </c>
      <c r="L547" s="60" t="e">
        <f>VLOOKUP(C547,'SALARY DETALES'!B547:C1020,2,0)</f>
        <v>#N/A</v>
      </c>
      <c r="O547" s="62" t="e">
        <f>VLOOKUP(C547,'SALARY DETALES'!$B$2:$D$475,3,0)</f>
        <v>#N/A</v>
      </c>
      <c r="P547" t="s">
        <v>1575</v>
      </c>
      <c r="Q547" t="s">
        <v>1576</v>
      </c>
    </row>
    <row r="548" spans="2:17" hidden="1" x14ac:dyDescent="0.3">
      <c r="B548" s="55">
        <v>547</v>
      </c>
      <c r="C548" s="55">
        <v>80820</v>
      </c>
      <c r="D548" t="s">
        <v>741</v>
      </c>
      <c r="E548" t="s">
        <v>1783</v>
      </c>
      <c r="F548" t="s">
        <v>1552</v>
      </c>
      <c r="G548" s="55">
        <v>0</v>
      </c>
      <c r="H548" s="55" t="s">
        <v>1816</v>
      </c>
      <c r="J548" s="57" t="e">
        <f>VLOOKUP(C548,'SALARY DETALES'!$B$2:$S$475,18,0)</f>
        <v>#N/A</v>
      </c>
      <c r="L548" s="60" t="e">
        <f>VLOOKUP(C548,'SALARY DETALES'!B548:C1021,2,0)</f>
        <v>#N/A</v>
      </c>
      <c r="O548" s="62" t="e">
        <f>VLOOKUP(C548,'SALARY DETALES'!$B$2:$D$475,3,0)</f>
        <v>#N/A</v>
      </c>
      <c r="P548" t="s">
        <v>1577</v>
      </c>
      <c r="Q548" t="s">
        <v>1578</v>
      </c>
    </row>
    <row r="549" spans="2:17" hidden="1" x14ac:dyDescent="0.3">
      <c r="B549" s="55">
        <v>548</v>
      </c>
      <c r="C549" s="55">
        <v>80821</v>
      </c>
      <c r="D549" t="s">
        <v>741</v>
      </c>
      <c r="E549" t="s">
        <v>1784</v>
      </c>
      <c r="F549" t="s">
        <v>1579</v>
      </c>
      <c r="G549" s="55">
        <v>0</v>
      </c>
      <c r="H549" s="55" t="s">
        <v>1816</v>
      </c>
      <c r="J549" s="57" t="e">
        <f>VLOOKUP(C549,'SALARY DETALES'!$B$2:$S$475,18,0)</f>
        <v>#N/A</v>
      </c>
      <c r="L549" s="60" t="e">
        <f>VLOOKUP(C549,'SALARY DETALES'!B549:C1022,2,0)</f>
        <v>#N/A</v>
      </c>
      <c r="O549" s="62" t="e">
        <f>VLOOKUP(C549,'SALARY DETALES'!$B$2:$D$475,3,0)</f>
        <v>#N/A</v>
      </c>
      <c r="P549" t="s">
        <v>1580</v>
      </c>
      <c r="Q549" t="s">
        <v>1581</v>
      </c>
    </row>
    <row r="550" spans="2:17" hidden="1" x14ac:dyDescent="0.3">
      <c r="B550" s="55">
        <v>549</v>
      </c>
      <c r="C550" s="55">
        <v>80822</v>
      </c>
      <c r="D550" t="s">
        <v>741</v>
      </c>
      <c r="E550" t="s">
        <v>1785</v>
      </c>
      <c r="F550" t="s">
        <v>1579</v>
      </c>
      <c r="G550" s="55">
        <v>0</v>
      </c>
      <c r="H550" s="55" t="s">
        <v>1816</v>
      </c>
      <c r="J550" s="57" t="e">
        <f>VLOOKUP(C550,'SALARY DETALES'!$B$2:$S$475,18,0)</f>
        <v>#N/A</v>
      </c>
      <c r="L550" s="60" t="e">
        <f>VLOOKUP(C550,'SALARY DETALES'!B550:C1023,2,0)</f>
        <v>#N/A</v>
      </c>
      <c r="O550" s="62" t="e">
        <f>VLOOKUP(C550,'SALARY DETALES'!$B$2:$D$475,3,0)</f>
        <v>#N/A</v>
      </c>
      <c r="Q550" t="s">
        <v>1582</v>
      </c>
    </row>
    <row r="551" spans="2:17" hidden="1" x14ac:dyDescent="0.3">
      <c r="B551" s="55">
        <v>550</v>
      </c>
      <c r="C551" s="55">
        <v>80823</v>
      </c>
      <c r="D551" t="s">
        <v>741</v>
      </c>
      <c r="E551" t="s">
        <v>1786</v>
      </c>
      <c r="F551" t="s">
        <v>1557</v>
      </c>
      <c r="G551" s="55">
        <v>0</v>
      </c>
      <c r="H551" s="55" t="s">
        <v>1816</v>
      </c>
      <c r="J551" s="57" t="e">
        <f>VLOOKUP(C551,'SALARY DETALES'!$B$2:$S$475,18,0)</f>
        <v>#N/A</v>
      </c>
      <c r="L551" s="60" t="e">
        <f>VLOOKUP(C551,'SALARY DETALES'!B551:C1024,2,0)</f>
        <v>#N/A</v>
      </c>
      <c r="O551" s="62" t="e">
        <f>VLOOKUP(C551,'SALARY DETALES'!$B$2:$D$475,3,0)</f>
        <v>#N/A</v>
      </c>
      <c r="P551" t="s">
        <v>1583</v>
      </c>
      <c r="Q551" t="s">
        <v>1584</v>
      </c>
    </row>
    <row r="552" spans="2:17" hidden="1" x14ac:dyDescent="0.3">
      <c r="B552" s="55">
        <v>551</v>
      </c>
      <c r="C552" s="55">
        <v>80824</v>
      </c>
      <c r="D552" t="s">
        <v>741</v>
      </c>
      <c r="E552" t="s">
        <v>1787</v>
      </c>
      <c r="F552" t="s">
        <v>734</v>
      </c>
      <c r="G552" s="55">
        <v>0</v>
      </c>
      <c r="H552" s="55" t="s">
        <v>1816</v>
      </c>
      <c r="J552" s="57" t="e">
        <f>VLOOKUP(C552,'SALARY DETALES'!$B$2:$S$475,18,0)</f>
        <v>#N/A</v>
      </c>
      <c r="L552" s="60" t="e">
        <f>VLOOKUP(C552,'SALARY DETALES'!B552:C1025,2,0)</f>
        <v>#N/A</v>
      </c>
      <c r="O552" s="62" t="e">
        <f>VLOOKUP(C552,'SALARY DETALES'!$B$2:$D$475,3,0)</f>
        <v>#N/A</v>
      </c>
      <c r="P552" t="s">
        <v>1585</v>
      </c>
      <c r="Q552" t="s">
        <v>1586</v>
      </c>
    </row>
    <row r="553" spans="2:17" hidden="1" x14ac:dyDescent="0.3">
      <c r="B553" s="55">
        <v>552</v>
      </c>
      <c r="C553" s="55">
        <v>80825</v>
      </c>
      <c r="D553" t="s">
        <v>741</v>
      </c>
      <c r="E553" t="s">
        <v>1788</v>
      </c>
      <c r="F553" t="s">
        <v>1558</v>
      </c>
      <c r="G553" s="55">
        <v>405</v>
      </c>
      <c r="H553" s="55" t="s">
        <v>1817</v>
      </c>
      <c r="J553" s="57" t="e">
        <f>VLOOKUP(C553,'SALARY DETALES'!$B$2:$S$475,18,0)</f>
        <v>#N/A</v>
      </c>
      <c r="L553" s="60" t="e">
        <f>VLOOKUP(C553,'SALARY DETALES'!B553:C1026,2,0)</f>
        <v>#N/A</v>
      </c>
      <c r="O553" s="62" t="e">
        <f>VLOOKUP(C553,'SALARY DETALES'!$B$2:$D$475,3,0)</f>
        <v>#N/A</v>
      </c>
      <c r="P553" t="s">
        <v>1587</v>
      </c>
      <c r="Q553" t="s">
        <v>1588</v>
      </c>
    </row>
    <row r="554" spans="2:17" hidden="1" x14ac:dyDescent="0.3">
      <c r="B554" s="55">
        <v>553</v>
      </c>
      <c r="C554" s="55">
        <v>80826</v>
      </c>
      <c r="D554" t="s">
        <v>741</v>
      </c>
      <c r="E554" t="s">
        <v>1789</v>
      </c>
      <c r="F554" t="s">
        <v>1558</v>
      </c>
      <c r="G554" s="55">
        <v>0</v>
      </c>
      <c r="H554" s="55" t="s">
        <v>1816</v>
      </c>
      <c r="J554" s="57" t="e">
        <f>VLOOKUP(C554,'SALARY DETALES'!$B$2:$S$475,18,0)</f>
        <v>#N/A</v>
      </c>
      <c r="L554" s="60" t="e">
        <f>VLOOKUP(C554,'SALARY DETALES'!B554:C1027,2,0)</f>
        <v>#N/A</v>
      </c>
      <c r="O554" s="62" t="e">
        <f>VLOOKUP(C554,'SALARY DETALES'!$B$2:$D$475,3,0)</f>
        <v>#N/A</v>
      </c>
      <c r="P554" t="s">
        <v>1589</v>
      </c>
      <c r="Q554" t="s">
        <v>1590</v>
      </c>
    </row>
    <row r="555" spans="2:17" hidden="1" x14ac:dyDescent="0.3">
      <c r="B555" s="55">
        <v>554</v>
      </c>
      <c r="C555" s="55">
        <v>80827</v>
      </c>
      <c r="D555" t="s">
        <v>741</v>
      </c>
      <c r="E555" t="s">
        <v>1790</v>
      </c>
      <c r="F555" t="s">
        <v>1558</v>
      </c>
      <c r="G555" s="55">
        <v>0</v>
      </c>
      <c r="H555" s="55" t="s">
        <v>1816</v>
      </c>
      <c r="J555" s="57" t="e">
        <f>VLOOKUP(C555,'SALARY DETALES'!$B$2:$S$475,18,0)</f>
        <v>#N/A</v>
      </c>
      <c r="L555" s="60" t="e">
        <f>VLOOKUP(C555,'SALARY DETALES'!B555:C1028,2,0)</f>
        <v>#N/A</v>
      </c>
      <c r="O555" s="62" t="e">
        <f>VLOOKUP(C555,'SALARY DETALES'!$B$2:$D$475,3,0)</f>
        <v>#N/A</v>
      </c>
      <c r="P555" t="s">
        <v>1591</v>
      </c>
      <c r="Q555" t="s">
        <v>1592</v>
      </c>
    </row>
    <row r="556" spans="2:17" hidden="1" x14ac:dyDescent="0.3">
      <c r="B556" s="55">
        <v>555</v>
      </c>
      <c r="C556" s="55">
        <v>80828</v>
      </c>
      <c r="D556" t="s">
        <v>741</v>
      </c>
      <c r="E556" t="s">
        <v>1791</v>
      </c>
      <c r="F556" t="s">
        <v>1558</v>
      </c>
      <c r="G556" s="55">
        <v>0</v>
      </c>
      <c r="H556" s="55" t="s">
        <v>1816</v>
      </c>
      <c r="J556" s="57" t="e">
        <f>VLOOKUP(C556,'SALARY DETALES'!$B$2:$S$475,18,0)</f>
        <v>#N/A</v>
      </c>
      <c r="L556" s="60" t="e">
        <f>VLOOKUP(C556,'SALARY DETALES'!B556:C1029,2,0)</f>
        <v>#N/A</v>
      </c>
      <c r="O556" s="62" t="e">
        <f>VLOOKUP(C556,'SALARY DETALES'!$B$2:$D$475,3,0)</f>
        <v>#N/A</v>
      </c>
      <c r="P556" t="s">
        <v>1593</v>
      </c>
      <c r="Q556" t="s">
        <v>1594</v>
      </c>
    </row>
    <row r="557" spans="2:17" hidden="1" x14ac:dyDescent="0.3">
      <c r="B557" s="55">
        <v>556</v>
      </c>
      <c r="C557" s="55">
        <v>80829</v>
      </c>
      <c r="D557" t="s">
        <v>741</v>
      </c>
      <c r="E557" t="s">
        <v>1734</v>
      </c>
      <c r="F557" t="s">
        <v>734</v>
      </c>
      <c r="G557" s="55">
        <v>0</v>
      </c>
      <c r="H557" s="55" t="s">
        <v>1816</v>
      </c>
      <c r="J557" s="57" t="e">
        <f>VLOOKUP(C557,'SALARY DETALES'!$B$2:$S$475,18,0)</f>
        <v>#N/A</v>
      </c>
      <c r="L557" s="60" t="e">
        <f>VLOOKUP(C557,'SALARY DETALES'!B557:C1030,2,0)</f>
        <v>#N/A</v>
      </c>
      <c r="O557" s="62" t="e">
        <f>VLOOKUP(C557,'SALARY DETALES'!$B$2:$D$475,3,0)</f>
        <v>#N/A</v>
      </c>
      <c r="P557" t="s">
        <v>1595</v>
      </c>
      <c r="Q557" t="s">
        <v>1596</v>
      </c>
    </row>
    <row r="558" spans="2:17" hidden="1" x14ac:dyDescent="0.3">
      <c r="B558" s="55">
        <v>557</v>
      </c>
      <c r="C558" s="55">
        <v>80830</v>
      </c>
      <c r="D558" t="s">
        <v>741</v>
      </c>
      <c r="E558" t="s">
        <v>1792</v>
      </c>
      <c r="F558" t="s">
        <v>1558</v>
      </c>
      <c r="G558" s="55">
        <v>0</v>
      </c>
      <c r="H558" s="55" t="s">
        <v>1816</v>
      </c>
      <c r="J558" s="57" t="e">
        <f>VLOOKUP(C558,'SALARY DETALES'!$B$2:$S$475,18,0)</f>
        <v>#N/A</v>
      </c>
      <c r="L558" s="60" t="e">
        <f>VLOOKUP(C558,'SALARY DETALES'!B558:C1031,2,0)</f>
        <v>#N/A</v>
      </c>
      <c r="O558" s="62" t="e">
        <f>VLOOKUP(C558,'SALARY DETALES'!$B$2:$D$475,3,0)</f>
        <v>#N/A</v>
      </c>
      <c r="P558" t="s">
        <v>1597</v>
      </c>
      <c r="Q558" t="s">
        <v>1598</v>
      </c>
    </row>
    <row r="559" spans="2:17" hidden="1" x14ac:dyDescent="0.3">
      <c r="B559" s="55">
        <v>558</v>
      </c>
      <c r="C559" s="55">
        <v>80831</v>
      </c>
      <c r="D559" t="s">
        <v>741</v>
      </c>
      <c r="E559" t="s">
        <v>1793</v>
      </c>
      <c r="F559" t="s">
        <v>1557</v>
      </c>
      <c r="G559" s="55">
        <v>0</v>
      </c>
      <c r="H559" s="55" t="s">
        <v>1816</v>
      </c>
      <c r="J559" s="57" t="e">
        <f>VLOOKUP(C559,'SALARY DETALES'!$B$2:$S$475,18,0)</f>
        <v>#N/A</v>
      </c>
      <c r="L559" s="60" t="e">
        <f>VLOOKUP(C559,'SALARY DETALES'!B559:C1032,2,0)</f>
        <v>#N/A</v>
      </c>
      <c r="O559" s="62" t="e">
        <f>VLOOKUP(C559,'SALARY DETALES'!$B$2:$D$475,3,0)</f>
        <v>#N/A</v>
      </c>
      <c r="P559" t="s">
        <v>1599</v>
      </c>
      <c r="Q559" t="s">
        <v>1600</v>
      </c>
    </row>
    <row r="560" spans="2:17" hidden="1" x14ac:dyDescent="0.3">
      <c r="B560" s="55">
        <v>559</v>
      </c>
      <c r="C560" s="55">
        <v>80833</v>
      </c>
      <c r="D560" t="s">
        <v>741</v>
      </c>
      <c r="E560" t="s">
        <v>1794</v>
      </c>
      <c r="F560" t="s">
        <v>734</v>
      </c>
      <c r="G560" s="55">
        <v>0</v>
      </c>
      <c r="H560" s="55" t="s">
        <v>1816</v>
      </c>
      <c r="J560" s="57" t="e">
        <f>VLOOKUP(C560,'SALARY DETALES'!$B$2:$S$475,18,0)</f>
        <v>#N/A</v>
      </c>
      <c r="L560" s="60" t="e">
        <f>VLOOKUP(C560,'SALARY DETALES'!B560:C1033,2,0)</f>
        <v>#N/A</v>
      </c>
      <c r="O560" s="62" t="e">
        <f>VLOOKUP(C560,'SALARY DETALES'!$B$2:$D$475,3,0)</f>
        <v>#N/A</v>
      </c>
      <c r="Q560" t="s">
        <v>1601</v>
      </c>
    </row>
    <row r="561" spans="2:20" hidden="1" x14ac:dyDescent="0.3">
      <c r="B561" s="55">
        <v>560</v>
      </c>
      <c r="C561" s="55">
        <v>80834</v>
      </c>
      <c r="D561" t="s">
        <v>741</v>
      </c>
      <c r="E561" t="s">
        <v>1795</v>
      </c>
      <c r="F561" t="s">
        <v>1602</v>
      </c>
      <c r="G561" s="55">
        <v>0</v>
      </c>
      <c r="H561" s="55" t="s">
        <v>1816</v>
      </c>
      <c r="J561" s="57" t="e">
        <f>VLOOKUP(C561,'SALARY DETALES'!$B$2:$S$475,18,0)</f>
        <v>#N/A</v>
      </c>
      <c r="L561" s="60" t="e">
        <f>VLOOKUP(C561,'SALARY DETALES'!B561:C1034,2,0)</f>
        <v>#N/A</v>
      </c>
      <c r="O561" s="62" t="e">
        <f>VLOOKUP(C561,'SALARY DETALES'!$B$2:$D$475,3,0)</f>
        <v>#N/A</v>
      </c>
      <c r="P561" t="s">
        <v>1603</v>
      </c>
      <c r="Q561" t="s">
        <v>1604</v>
      </c>
    </row>
    <row r="562" spans="2:20" hidden="1" x14ac:dyDescent="0.3">
      <c r="B562" s="55">
        <v>561</v>
      </c>
      <c r="C562" s="55">
        <v>80835</v>
      </c>
      <c r="D562" t="s">
        <v>741</v>
      </c>
      <c r="E562" t="s">
        <v>1796</v>
      </c>
      <c r="F562" t="s">
        <v>1605</v>
      </c>
      <c r="G562" s="55">
        <v>0</v>
      </c>
      <c r="H562" s="55" t="s">
        <v>1816</v>
      </c>
      <c r="J562" s="57" t="e">
        <f>VLOOKUP(C562,'SALARY DETALES'!$B$2:$S$475,18,0)</f>
        <v>#N/A</v>
      </c>
      <c r="L562" s="60" t="e">
        <f>VLOOKUP(C562,'SALARY DETALES'!B562:C1035,2,0)</f>
        <v>#N/A</v>
      </c>
      <c r="O562" s="62" t="e">
        <f>VLOOKUP(C562,'SALARY DETALES'!$B$2:$D$475,3,0)</f>
        <v>#N/A</v>
      </c>
      <c r="P562" t="s">
        <v>1606</v>
      </c>
      <c r="Q562" t="s">
        <v>1607</v>
      </c>
    </row>
    <row r="563" spans="2:20" hidden="1" x14ac:dyDescent="0.3">
      <c r="B563" s="55">
        <v>562</v>
      </c>
      <c r="C563" s="55">
        <v>80836</v>
      </c>
      <c r="D563" t="s">
        <v>741</v>
      </c>
      <c r="E563" t="s">
        <v>1797</v>
      </c>
      <c r="F563" t="s">
        <v>734</v>
      </c>
      <c r="G563" s="55">
        <v>0</v>
      </c>
      <c r="H563" s="55" t="s">
        <v>1816</v>
      </c>
      <c r="J563" s="57" t="e">
        <f>VLOOKUP(C563,'SALARY DETALES'!$B$2:$S$475,18,0)</f>
        <v>#N/A</v>
      </c>
      <c r="L563" s="60" t="e">
        <f>VLOOKUP(C563,'SALARY DETALES'!B563:C1036,2,0)</f>
        <v>#N/A</v>
      </c>
      <c r="O563" s="62" t="e">
        <f>VLOOKUP(C563,'SALARY DETALES'!$B$2:$D$475,3,0)</f>
        <v>#N/A</v>
      </c>
      <c r="P563" t="s">
        <v>1608</v>
      </c>
      <c r="Q563" t="s">
        <v>1609</v>
      </c>
    </row>
    <row r="564" spans="2:20" hidden="1" x14ac:dyDescent="0.3">
      <c r="B564" s="55">
        <v>563</v>
      </c>
      <c r="C564" s="55">
        <v>80837</v>
      </c>
      <c r="D564" t="s">
        <v>741</v>
      </c>
      <c r="E564" t="s">
        <v>1798</v>
      </c>
      <c r="F564" t="s">
        <v>1557</v>
      </c>
      <c r="G564" s="55">
        <v>0</v>
      </c>
      <c r="H564" s="55" t="s">
        <v>1816</v>
      </c>
      <c r="J564" s="57" t="e">
        <f>VLOOKUP(C564,'SALARY DETALES'!$B$2:$S$475,18,0)</f>
        <v>#N/A</v>
      </c>
      <c r="L564" s="60" t="e">
        <f>VLOOKUP(C564,'SALARY DETALES'!B564:C1037,2,0)</f>
        <v>#N/A</v>
      </c>
      <c r="O564" s="62" t="e">
        <f>VLOOKUP(C564,'SALARY DETALES'!$B$2:$D$475,3,0)</f>
        <v>#N/A</v>
      </c>
      <c r="P564" t="s">
        <v>1610</v>
      </c>
      <c r="Q564" t="s">
        <v>1611</v>
      </c>
    </row>
    <row r="565" spans="2:20" hidden="1" x14ac:dyDescent="0.3">
      <c r="B565" s="55">
        <v>564</v>
      </c>
      <c r="C565" s="55">
        <v>80838</v>
      </c>
      <c r="D565" t="s">
        <v>741</v>
      </c>
      <c r="E565" t="s">
        <v>1799</v>
      </c>
      <c r="F565" t="s">
        <v>1612</v>
      </c>
      <c r="G565" s="55">
        <v>0</v>
      </c>
      <c r="H565" s="55" t="s">
        <v>1816</v>
      </c>
      <c r="J565" s="57" t="e">
        <f>VLOOKUP(C565,'SALARY DETALES'!$B$2:$S$475,18,0)</f>
        <v>#N/A</v>
      </c>
      <c r="L565" s="60" t="e">
        <f>VLOOKUP(C565,'SALARY DETALES'!B565:C1038,2,0)</f>
        <v>#N/A</v>
      </c>
      <c r="O565" s="62" t="e">
        <f>VLOOKUP(C565,'SALARY DETALES'!$B$2:$D$475,3,0)</f>
        <v>#N/A</v>
      </c>
      <c r="P565" t="s">
        <v>1613</v>
      </c>
      <c r="Q565" t="s">
        <v>1614</v>
      </c>
    </row>
    <row r="566" spans="2:20" hidden="1" x14ac:dyDescent="0.3">
      <c r="B566" s="55">
        <v>565</v>
      </c>
      <c r="C566" s="55">
        <v>80839</v>
      </c>
      <c r="D566" t="s">
        <v>741</v>
      </c>
      <c r="E566" t="s">
        <v>1800</v>
      </c>
      <c r="F566" t="s">
        <v>1615</v>
      </c>
      <c r="G566" s="55">
        <v>0</v>
      </c>
      <c r="H566" s="55" t="s">
        <v>1816</v>
      </c>
      <c r="J566" s="57" t="e">
        <f>VLOOKUP(C566,'SALARY DETALES'!$B$2:$S$475,18,0)</f>
        <v>#N/A</v>
      </c>
      <c r="L566" s="60" t="e">
        <f>VLOOKUP(C566,'SALARY DETALES'!B566:C1039,2,0)</f>
        <v>#N/A</v>
      </c>
      <c r="O566" s="62" t="e">
        <f>VLOOKUP(C566,'SALARY DETALES'!$B$2:$D$475,3,0)</f>
        <v>#N/A</v>
      </c>
      <c r="P566" t="s">
        <v>1616</v>
      </c>
      <c r="Q566" t="s">
        <v>1617</v>
      </c>
    </row>
    <row r="567" spans="2:20" hidden="1" x14ac:dyDescent="0.3">
      <c r="B567" s="55">
        <v>566</v>
      </c>
      <c r="C567" s="55">
        <v>80840</v>
      </c>
      <c r="D567" t="s">
        <v>741</v>
      </c>
      <c r="E567" t="s">
        <v>1801</v>
      </c>
      <c r="F567" t="s">
        <v>1579</v>
      </c>
      <c r="G567" s="55">
        <v>0</v>
      </c>
      <c r="H567" s="55" t="s">
        <v>1816</v>
      </c>
      <c r="J567" s="57" t="e">
        <f>VLOOKUP(C567,'SALARY DETALES'!$B$2:$S$475,18,0)</f>
        <v>#N/A</v>
      </c>
      <c r="L567" s="60" t="e">
        <f>VLOOKUP(C567,'SALARY DETALES'!B567:C1040,2,0)</f>
        <v>#N/A</v>
      </c>
      <c r="O567" s="62" t="e">
        <f>VLOOKUP(C567,'SALARY DETALES'!$B$2:$D$475,3,0)</f>
        <v>#N/A</v>
      </c>
      <c r="P567" t="s">
        <v>1618</v>
      </c>
      <c r="Q567" t="s">
        <v>1619</v>
      </c>
      <c r="R567" t="s">
        <v>1100</v>
      </c>
    </row>
    <row r="568" spans="2:20" hidden="1" x14ac:dyDescent="0.3">
      <c r="B568" s="55">
        <v>567</v>
      </c>
      <c r="C568" s="55">
        <v>80841</v>
      </c>
      <c r="D568" t="s">
        <v>741</v>
      </c>
      <c r="E568" t="s">
        <v>416</v>
      </c>
      <c r="F568" t="s">
        <v>1557</v>
      </c>
      <c r="G568" s="55">
        <v>0</v>
      </c>
      <c r="H568" s="55" t="s">
        <v>1816</v>
      </c>
      <c r="J568" s="57" t="e">
        <f>VLOOKUP(C568,'SALARY DETALES'!$B$2:$S$475,18,0)</f>
        <v>#N/A</v>
      </c>
      <c r="L568" s="60" t="e">
        <f>VLOOKUP(C568,'SALARY DETALES'!B568:C1041,2,0)</f>
        <v>#N/A</v>
      </c>
      <c r="O568" s="62" t="e">
        <f>VLOOKUP(C568,'SALARY DETALES'!$B$2:$D$475,3,0)</f>
        <v>#N/A</v>
      </c>
      <c r="P568" t="s">
        <v>1620</v>
      </c>
      <c r="Q568" t="s">
        <v>1621</v>
      </c>
      <c r="R568" t="s">
        <v>1622</v>
      </c>
    </row>
    <row r="569" spans="2:20" hidden="1" x14ac:dyDescent="0.3">
      <c r="B569" s="55">
        <v>568</v>
      </c>
      <c r="C569" s="55">
        <v>80842</v>
      </c>
      <c r="D569" t="s">
        <v>741</v>
      </c>
      <c r="E569" t="s">
        <v>1802</v>
      </c>
      <c r="F569" t="s">
        <v>1623</v>
      </c>
      <c r="G569" s="55">
        <v>0</v>
      </c>
      <c r="H569" s="55" t="s">
        <v>1816</v>
      </c>
      <c r="J569" s="57" t="e">
        <f>VLOOKUP(C569,'SALARY DETALES'!$B$2:$S$475,18,0)</f>
        <v>#N/A</v>
      </c>
      <c r="L569" s="60" t="e">
        <f>VLOOKUP(C569,'SALARY DETALES'!B569:C1042,2,0)</f>
        <v>#N/A</v>
      </c>
      <c r="O569" s="62" t="e">
        <f>VLOOKUP(C569,'SALARY DETALES'!$B$2:$D$475,3,0)</f>
        <v>#N/A</v>
      </c>
      <c r="P569" t="s">
        <v>1624</v>
      </c>
      <c r="Q569" t="s">
        <v>1625</v>
      </c>
      <c r="T569" t="s">
        <v>1626</v>
      </c>
    </row>
    <row r="570" spans="2:20" hidden="1" x14ac:dyDescent="0.3">
      <c r="B570" s="55">
        <v>569</v>
      </c>
      <c r="C570" s="55">
        <v>80843</v>
      </c>
      <c r="D570" t="s">
        <v>741</v>
      </c>
      <c r="E570" t="s">
        <v>1803</v>
      </c>
      <c r="F570" t="s">
        <v>1627</v>
      </c>
      <c r="G570" s="55">
        <v>0</v>
      </c>
      <c r="H570" s="55" t="s">
        <v>1816</v>
      </c>
      <c r="J570" s="57" t="e">
        <f>VLOOKUP(C570,'SALARY DETALES'!$B$2:$S$475,18,0)</f>
        <v>#N/A</v>
      </c>
      <c r="L570" s="60" t="e">
        <f>VLOOKUP(C570,'SALARY DETALES'!B570:C1043,2,0)</f>
        <v>#N/A</v>
      </c>
      <c r="O570" s="62" t="e">
        <f>VLOOKUP(C570,'SALARY DETALES'!$B$2:$D$475,3,0)</f>
        <v>#N/A</v>
      </c>
      <c r="P570" t="s">
        <v>1628</v>
      </c>
      <c r="Q570" t="s">
        <v>1629</v>
      </c>
    </row>
    <row r="571" spans="2:20" hidden="1" x14ac:dyDescent="0.3">
      <c r="B571" s="55">
        <v>570</v>
      </c>
      <c r="C571" s="55">
        <v>80844</v>
      </c>
      <c r="D571" t="s">
        <v>741</v>
      </c>
      <c r="E571" t="s">
        <v>1804</v>
      </c>
      <c r="F571" t="s">
        <v>1627</v>
      </c>
      <c r="G571" s="55">
        <v>0</v>
      </c>
      <c r="H571" s="55" t="s">
        <v>1816</v>
      </c>
      <c r="J571" s="57" t="e">
        <f>VLOOKUP(C571,'SALARY DETALES'!$B$2:$S$475,18,0)</f>
        <v>#N/A</v>
      </c>
      <c r="L571" s="60" t="e">
        <f>VLOOKUP(C571,'SALARY DETALES'!B571:C1044,2,0)</f>
        <v>#N/A</v>
      </c>
      <c r="O571" s="62" t="e">
        <f>VLOOKUP(C571,'SALARY DETALES'!$B$2:$D$475,3,0)</f>
        <v>#N/A</v>
      </c>
    </row>
    <row r="572" spans="2:20" hidden="1" x14ac:dyDescent="0.3">
      <c r="B572" s="55">
        <v>571</v>
      </c>
      <c r="C572" s="55">
        <v>80845</v>
      </c>
      <c r="D572" t="s">
        <v>741</v>
      </c>
      <c r="E572" t="s">
        <v>1805</v>
      </c>
      <c r="F572" t="s">
        <v>1630</v>
      </c>
      <c r="G572" s="55">
        <v>0</v>
      </c>
      <c r="H572" s="55" t="s">
        <v>1816</v>
      </c>
      <c r="J572" s="57" t="e">
        <f>VLOOKUP(C572,'SALARY DETALES'!$B$2:$S$475,18,0)</f>
        <v>#N/A</v>
      </c>
      <c r="L572" s="60" t="e">
        <f>VLOOKUP(C572,'SALARY DETALES'!B572:C1045,2,0)</f>
        <v>#N/A</v>
      </c>
      <c r="O572" s="62" t="e">
        <f>VLOOKUP(C572,'SALARY DETALES'!$B$2:$D$475,3,0)</f>
        <v>#N/A</v>
      </c>
    </row>
    <row r="573" spans="2:20" hidden="1" x14ac:dyDescent="0.3">
      <c r="B573" s="55">
        <v>572</v>
      </c>
      <c r="C573" s="55">
        <v>80846</v>
      </c>
      <c r="D573" t="s">
        <v>741</v>
      </c>
      <c r="E573" t="s">
        <v>519</v>
      </c>
      <c r="F573" t="s">
        <v>1630</v>
      </c>
      <c r="G573" s="55">
        <v>0</v>
      </c>
      <c r="H573" s="55" t="s">
        <v>1816</v>
      </c>
      <c r="J573" s="57" t="e">
        <f>VLOOKUP(C573,'SALARY DETALES'!$B$2:$S$475,18,0)</f>
        <v>#N/A</v>
      </c>
      <c r="L573" s="60" t="e">
        <f>VLOOKUP(C573,'SALARY DETALES'!B573:C1046,2,0)</f>
        <v>#N/A</v>
      </c>
      <c r="O573" s="62" t="e">
        <f>VLOOKUP(C573,'SALARY DETALES'!$B$2:$D$475,3,0)</f>
        <v>#N/A</v>
      </c>
    </row>
    <row r="574" spans="2:20" hidden="1" x14ac:dyDescent="0.3">
      <c r="B574" s="55">
        <v>573</v>
      </c>
      <c r="C574" s="55">
        <v>80847</v>
      </c>
      <c r="D574" t="s">
        <v>741</v>
      </c>
      <c r="E574" t="s">
        <v>1806</v>
      </c>
      <c r="F574" t="s">
        <v>1631</v>
      </c>
      <c r="G574" s="55">
        <v>0</v>
      </c>
      <c r="H574" s="55" t="s">
        <v>1816</v>
      </c>
      <c r="J574" s="57" t="e">
        <f>VLOOKUP(C574,'SALARY DETALES'!$B$2:$S$475,18,0)</f>
        <v>#N/A</v>
      </c>
      <c r="L574" s="60" t="e">
        <f>VLOOKUP(C574,'SALARY DETALES'!B574:C1047,2,0)</f>
        <v>#N/A</v>
      </c>
      <c r="O574" s="62" t="e">
        <f>VLOOKUP(C574,'SALARY DETALES'!$B$2:$D$475,3,0)</f>
        <v>#N/A</v>
      </c>
    </row>
    <row r="575" spans="2:20" hidden="1" x14ac:dyDescent="0.3">
      <c r="B575" s="55">
        <v>574</v>
      </c>
      <c r="C575" s="55">
        <v>80848</v>
      </c>
      <c r="D575" t="s">
        <v>741</v>
      </c>
      <c r="E575" t="s">
        <v>1807</v>
      </c>
      <c r="F575" t="s">
        <v>1631</v>
      </c>
      <c r="G575" s="55">
        <v>0</v>
      </c>
      <c r="H575" s="55" t="s">
        <v>1816</v>
      </c>
      <c r="J575" s="57" t="e">
        <f>VLOOKUP(C575,'SALARY DETALES'!$B$2:$S$475,18,0)</f>
        <v>#N/A</v>
      </c>
      <c r="L575" s="60" t="e">
        <f>VLOOKUP(C575,'SALARY DETALES'!B575:C1048,2,0)</f>
        <v>#N/A</v>
      </c>
      <c r="O575" s="62" t="e">
        <f>VLOOKUP(C575,'SALARY DETALES'!$B$2:$D$475,3,0)</f>
        <v>#N/A</v>
      </c>
    </row>
    <row r="576" spans="2:20" hidden="1" x14ac:dyDescent="0.3">
      <c r="B576" s="55">
        <v>575</v>
      </c>
      <c r="C576" s="55">
        <v>80849</v>
      </c>
      <c r="D576" t="s">
        <v>741</v>
      </c>
      <c r="E576" t="s">
        <v>1808</v>
      </c>
      <c r="F576" t="s">
        <v>1631</v>
      </c>
      <c r="G576" s="55">
        <v>0</v>
      </c>
      <c r="H576" s="55" t="s">
        <v>1816</v>
      </c>
      <c r="J576" s="57" t="e">
        <f>VLOOKUP(C576,'SALARY DETALES'!$B$2:$S$475,18,0)</f>
        <v>#N/A</v>
      </c>
      <c r="L576" s="60" t="e">
        <f>VLOOKUP(C576,'SALARY DETALES'!B576:C1049,2,0)</f>
        <v>#N/A</v>
      </c>
      <c r="O576" s="62" t="e">
        <f>VLOOKUP(C576,'SALARY DETALES'!$B$2:$D$475,3,0)</f>
        <v>#N/A</v>
      </c>
    </row>
    <row r="577" spans="2:17" hidden="1" x14ac:dyDescent="0.3">
      <c r="B577" s="55">
        <v>576</v>
      </c>
      <c r="C577" s="55">
        <v>80850</v>
      </c>
      <c r="D577" t="s">
        <v>741</v>
      </c>
      <c r="E577" t="s">
        <v>1809</v>
      </c>
      <c r="F577" t="s">
        <v>1605</v>
      </c>
      <c r="G577" s="55">
        <v>0</v>
      </c>
      <c r="H577" s="55" t="s">
        <v>1816</v>
      </c>
      <c r="J577" s="57" t="e">
        <f>VLOOKUP(C577,'SALARY DETALES'!$B$2:$S$475,18,0)</f>
        <v>#N/A</v>
      </c>
      <c r="L577" s="60" t="e">
        <f>VLOOKUP(C577,'SALARY DETALES'!B577:C1050,2,0)</f>
        <v>#N/A</v>
      </c>
      <c r="O577" s="62" t="e">
        <f>VLOOKUP(C577,'SALARY DETALES'!$B$2:$D$475,3,0)</f>
        <v>#N/A</v>
      </c>
      <c r="P577" t="s">
        <v>1632</v>
      </c>
      <c r="Q577" t="s">
        <v>1633</v>
      </c>
    </row>
    <row r="578" spans="2:17" hidden="1" x14ac:dyDescent="0.3">
      <c r="B578" s="55">
        <v>577</v>
      </c>
      <c r="C578" s="55">
        <v>80851</v>
      </c>
      <c r="D578" t="s">
        <v>741</v>
      </c>
      <c r="E578" t="s">
        <v>1810</v>
      </c>
      <c r="F578" t="s">
        <v>1630</v>
      </c>
      <c r="G578" s="55">
        <v>0</v>
      </c>
      <c r="H578" s="55" t="s">
        <v>1816</v>
      </c>
      <c r="J578" s="57" t="e">
        <f>VLOOKUP(C578,'SALARY DETALES'!$B$2:$S$475,18,0)</f>
        <v>#N/A</v>
      </c>
      <c r="L578" s="60" t="e">
        <f>VLOOKUP(C578,'SALARY DETALES'!B578:C1051,2,0)</f>
        <v>#N/A</v>
      </c>
      <c r="O578" s="62" t="e">
        <f>VLOOKUP(C578,'SALARY DETALES'!$B$2:$D$475,3,0)</f>
        <v>#N/A</v>
      </c>
      <c r="P578" t="s">
        <v>1634</v>
      </c>
      <c r="Q578" t="s">
        <v>1635</v>
      </c>
    </row>
    <row r="579" spans="2:17" hidden="1" x14ac:dyDescent="0.3">
      <c r="B579" s="55">
        <v>578</v>
      </c>
      <c r="C579" s="55">
        <v>80852</v>
      </c>
      <c r="D579" t="s">
        <v>741</v>
      </c>
      <c r="E579" t="s">
        <v>1811</v>
      </c>
      <c r="F579" t="s">
        <v>1627</v>
      </c>
      <c r="G579" s="55">
        <v>0</v>
      </c>
      <c r="H579" s="55" t="s">
        <v>1816</v>
      </c>
      <c r="J579" s="57" t="e">
        <f>VLOOKUP(C579,'SALARY DETALES'!$B$2:$S$475,18,0)</f>
        <v>#N/A</v>
      </c>
      <c r="L579" s="60" t="e">
        <f>VLOOKUP(C579,'SALARY DETALES'!B579:C1052,2,0)</f>
        <v>#N/A</v>
      </c>
      <c r="O579" s="62" t="e">
        <f>VLOOKUP(C579,'SALARY DETALES'!$B$2:$D$475,3,0)</f>
        <v>#N/A</v>
      </c>
      <c r="P579" t="s">
        <v>1636</v>
      </c>
      <c r="Q579" t="s">
        <v>1637</v>
      </c>
    </row>
    <row r="580" spans="2:17" hidden="1" x14ac:dyDescent="0.3">
      <c r="B580" s="55">
        <v>579</v>
      </c>
      <c r="C580" s="55">
        <v>80853</v>
      </c>
      <c r="D580" t="s">
        <v>741</v>
      </c>
      <c r="E580" t="s">
        <v>531</v>
      </c>
      <c r="F580" t="s">
        <v>1630</v>
      </c>
      <c r="G580" s="55">
        <v>0</v>
      </c>
      <c r="H580" s="55" t="s">
        <v>1816</v>
      </c>
      <c r="J580" s="57" t="e">
        <f>VLOOKUP(C580,'SALARY DETALES'!$B$2:$S$475,18,0)</f>
        <v>#N/A</v>
      </c>
      <c r="L580" s="60" t="e">
        <f>VLOOKUP(C580,'SALARY DETALES'!B580:C1053,2,0)</f>
        <v>#N/A</v>
      </c>
      <c r="O580" s="62" t="e">
        <f>VLOOKUP(C580,'SALARY DETALES'!$B$2:$D$475,3,0)</f>
        <v>#N/A</v>
      </c>
      <c r="P580" t="s">
        <v>1638</v>
      </c>
      <c r="Q580" t="s">
        <v>1639</v>
      </c>
    </row>
    <row r="581" spans="2:17" hidden="1" x14ac:dyDescent="0.3">
      <c r="B581" s="55">
        <v>580</v>
      </c>
      <c r="C581" s="55">
        <v>80854</v>
      </c>
      <c r="D581" t="s">
        <v>741</v>
      </c>
      <c r="E581" t="s">
        <v>1812</v>
      </c>
      <c r="F581" t="s">
        <v>1640</v>
      </c>
      <c r="G581" s="55">
        <v>0</v>
      </c>
      <c r="H581" s="55" t="s">
        <v>1816</v>
      </c>
      <c r="J581" s="57" t="e">
        <f>VLOOKUP(C581,'SALARY DETALES'!$B$2:$S$475,18,0)</f>
        <v>#N/A</v>
      </c>
      <c r="L581" s="60" t="e">
        <f>VLOOKUP(C581,'SALARY DETALES'!B581:C1054,2,0)</f>
        <v>#N/A</v>
      </c>
      <c r="O581" s="62" t="e">
        <f>VLOOKUP(C581,'SALARY DETALES'!$B$2:$D$475,3,0)</f>
        <v>#N/A</v>
      </c>
      <c r="P581" t="s">
        <v>1641</v>
      </c>
      <c r="Q581" t="s">
        <v>1642</v>
      </c>
    </row>
    <row r="582" spans="2:17" hidden="1" x14ac:dyDescent="0.3">
      <c r="B582" s="55">
        <v>581</v>
      </c>
      <c r="C582" s="55">
        <v>80855</v>
      </c>
      <c r="D582" t="s">
        <v>741</v>
      </c>
      <c r="E582" t="s">
        <v>1770</v>
      </c>
      <c r="F582" t="s">
        <v>1627</v>
      </c>
      <c r="G582" s="55">
        <v>0</v>
      </c>
      <c r="H582" s="55" t="s">
        <v>1816</v>
      </c>
      <c r="J582" s="57" t="e">
        <f>VLOOKUP(C582,'SALARY DETALES'!$B$2:$S$475,18,0)</f>
        <v>#N/A</v>
      </c>
      <c r="L582" s="60" t="e">
        <f>VLOOKUP(C582,'SALARY DETALES'!B582:C1055,2,0)</f>
        <v>#N/A</v>
      </c>
      <c r="O582" s="62" t="e">
        <f>VLOOKUP(C582,'SALARY DETALES'!$B$2:$D$475,3,0)</f>
        <v>#N/A</v>
      </c>
      <c r="P582" t="s">
        <v>1643</v>
      </c>
      <c r="Q582" t="s">
        <v>1644</v>
      </c>
    </row>
    <row r="583" spans="2:17" hidden="1" x14ac:dyDescent="0.3">
      <c r="B583" s="55">
        <v>582</v>
      </c>
      <c r="C583" s="55">
        <v>80856</v>
      </c>
      <c r="D583" t="s">
        <v>741</v>
      </c>
      <c r="E583" t="s">
        <v>1813</v>
      </c>
      <c r="F583" t="s">
        <v>1645</v>
      </c>
      <c r="G583" s="55">
        <v>0</v>
      </c>
      <c r="H583" s="55" t="s">
        <v>1816</v>
      </c>
      <c r="J583" s="57" t="e">
        <f>VLOOKUP(C583,'SALARY DETALES'!$B$2:$S$475,18,0)</f>
        <v>#N/A</v>
      </c>
      <c r="L583" s="60" t="e">
        <f>VLOOKUP(C583,'SALARY DETALES'!B583:C1056,2,0)</f>
        <v>#N/A</v>
      </c>
      <c r="O583" s="62" t="e">
        <f>VLOOKUP(C583,'SALARY DETALES'!$B$2:$D$475,3,0)</f>
        <v>#N/A</v>
      </c>
      <c r="P583" t="s">
        <v>1646</v>
      </c>
      <c r="Q583" t="s">
        <v>1647</v>
      </c>
    </row>
    <row r="584" spans="2:17" hidden="1" x14ac:dyDescent="0.3">
      <c r="B584" s="55">
        <v>583</v>
      </c>
      <c r="C584" s="55">
        <v>80857</v>
      </c>
      <c r="D584" t="s">
        <v>741</v>
      </c>
      <c r="E584" t="s">
        <v>1814</v>
      </c>
      <c r="F584" t="s">
        <v>1648</v>
      </c>
      <c r="G584" s="55">
        <v>0</v>
      </c>
      <c r="H584" s="55" t="s">
        <v>1816</v>
      </c>
      <c r="J584" s="57" t="e">
        <f>VLOOKUP(C584,'SALARY DETALES'!$B$2:$S$475,18,0)</f>
        <v>#N/A</v>
      </c>
      <c r="L584" s="60" t="e">
        <f>VLOOKUP(C584,'SALARY DETALES'!B584:C1057,2,0)</f>
        <v>#N/A</v>
      </c>
      <c r="O584" s="62" t="e">
        <f>VLOOKUP(C584,'SALARY DETALES'!$B$2:$D$475,3,0)</f>
        <v>#N/A</v>
      </c>
      <c r="P584" t="s">
        <v>1649</v>
      </c>
      <c r="Q584" t="s">
        <v>1650</v>
      </c>
    </row>
  </sheetData>
  <autoFilter ref="A2:T584" xr:uid="{9DF142ED-5B94-467B-A129-98C986881FCF}">
    <filterColumn colId="9">
      <filters>
        <filter val="100000"/>
        <filter val="120000"/>
        <filter val="140000"/>
        <filter val="15000"/>
        <filter val="16000"/>
        <filter val="175000"/>
        <filter val="17600"/>
        <filter val="18000"/>
        <filter val="19360"/>
        <filter val="19800"/>
        <filter val="20000"/>
        <filter val="21780"/>
        <filter val="22000"/>
        <filter val="23000"/>
        <filter val="23100"/>
        <filter val="24000"/>
        <filter val="24200"/>
        <filter val="25000"/>
        <filter val="26400"/>
        <filter val="26500"/>
        <filter val="27500"/>
        <filter val="27600"/>
        <filter val="28000"/>
        <filter val="29040"/>
        <filter val="30000"/>
        <filter val="30250"/>
        <filter val="32000"/>
        <filter val="32600"/>
        <filter val="33000"/>
        <filter val="34000"/>
        <filter val="35000"/>
        <filter val="35200"/>
        <filter val="36300"/>
        <filter val="37200"/>
        <filter val="38000"/>
        <filter val="38500"/>
        <filter val="39552"/>
        <filter val="40000"/>
        <filter val="40700"/>
        <filter val="42350"/>
        <filter val="44000"/>
        <filter val="45000"/>
        <filter val="46200"/>
        <filter val="47300"/>
        <filter val="49500"/>
        <filter val="50000"/>
        <filter val="54000"/>
        <filter val="55000"/>
        <filter val="60000"/>
        <filter val="65000"/>
        <filter val="65450"/>
        <filter val="66000"/>
        <filter val="70000"/>
        <filter val="71500"/>
        <filter val="85000"/>
        <filter val="90000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75"/>
  <sheetViews>
    <sheetView topLeftCell="A15" workbookViewId="0">
      <selection activeCell="C21" sqref="C21"/>
    </sheetView>
  </sheetViews>
  <sheetFormatPr defaultRowHeight="14.4" x14ac:dyDescent="0.3"/>
  <cols>
    <col min="3" max="3" width="18.21875" bestFit="1" customWidth="1"/>
    <col min="4" max="4" width="15" bestFit="1" customWidth="1"/>
  </cols>
  <sheetData>
    <row r="1" spans="1:55" ht="100.2" x14ac:dyDescent="0.3">
      <c r="A1" s="1" t="s">
        <v>0</v>
      </c>
      <c r="B1" s="1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4" t="s">
        <v>5</v>
      </c>
      <c r="H1" s="5" t="s">
        <v>6</v>
      </c>
      <c r="I1" s="5" t="s">
        <v>7</v>
      </c>
      <c r="J1" s="4" t="s">
        <v>8</v>
      </c>
      <c r="K1" s="5" t="s">
        <v>9</v>
      </c>
      <c r="L1" s="6">
        <v>1</v>
      </c>
      <c r="M1" s="6">
        <v>1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 t="s">
        <v>15</v>
      </c>
      <c r="T1" s="5" t="s">
        <v>16</v>
      </c>
      <c r="U1" s="5" t="s">
        <v>17</v>
      </c>
      <c r="V1" s="4" t="s">
        <v>18</v>
      </c>
      <c r="W1" s="7" t="s">
        <v>19</v>
      </c>
      <c r="X1" s="7" t="s">
        <v>20</v>
      </c>
      <c r="Y1" s="8" t="s">
        <v>21</v>
      </c>
      <c r="Z1" s="9" t="s">
        <v>22</v>
      </c>
      <c r="AA1" s="8" t="s">
        <v>23</v>
      </c>
      <c r="AB1" s="9" t="s">
        <v>24</v>
      </c>
      <c r="AC1" s="9" t="s">
        <v>25</v>
      </c>
      <c r="AD1" s="9" t="s">
        <v>26</v>
      </c>
      <c r="AE1" s="8" t="s">
        <v>27</v>
      </c>
      <c r="AF1" s="9" t="s">
        <v>28</v>
      </c>
      <c r="AG1" s="8" t="s">
        <v>29</v>
      </c>
      <c r="AH1" s="9" t="s">
        <v>30</v>
      </c>
      <c r="AI1" s="9" t="s">
        <v>31</v>
      </c>
      <c r="AJ1" s="9" t="s">
        <v>32</v>
      </c>
      <c r="AK1" s="9" t="s">
        <v>33</v>
      </c>
      <c r="AL1" s="4" t="s">
        <v>34</v>
      </c>
      <c r="AM1" s="4" t="s">
        <v>35</v>
      </c>
      <c r="AN1" s="4" t="s">
        <v>36</v>
      </c>
      <c r="AO1" s="4" t="s">
        <v>37</v>
      </c>
      <c r="AP1" s="4" t="s">
        <v>38</v>
      </c>
      <c r="AQ1" s="4" t="s">
        <v>39</v>
      </c>
      <c r="AR1" s="4" t="s">
        <v>40</v>
      </c>
      <c r="AS1" s="4" t="s">
        <v>41</v>
      </c>
      <c r="AT1" s="4" t="s">
        <v>42</v>
      </c>
      <c r="AU1" s="5" t="s">
        <v>43</v>
      </c>
      <c r="AV1" s="10" t="s">
        <v>44</v>
      </c>
      <c r="AW1" s="11" t="s">
        <v>45</v>
      </c>
      <c r="AX1" s="12" t="s">
        <v>46</v>
      </c>
      <c r="AY1" s="12" t="s">
        <v>47</v>
      </c>
      <c r="AZ1" s="13" t="s">
        <v>48</v>
      </c>
      <c r="BA1" s="13" t="s">
        <v>49</v>
      </c>
      <c r="BB1" s="13" t="s">
        <v>50</v>
      </c>
      <c r="BC1" s="14"/>
    </row>
    <row r="2" spans="1:55" ht="42.6" x14ac:dyDescent="0.4">
      <c r="A2" s="15">
        <v>1</v>
      </c>
      <c r="B2" s="16">
        <v>5042</v>
      </c>
      <c r="C2" s="17" t="s">
        <v>51</v>
      </c>
      <c r="D2" s="17" t="s">
        <v>52</v>
      </c>
      <c r="E2" s="16" t="s">
        <v>53</v>
      </c>
      <c r="F2" s="16">
        <v>30</v>
      </c>
      <c r="G2" s="16">
        <v>30</v>
      </c>
      <c r="H2" s="18">
        <f t="shared" ref="H2:H128" si="0">+F2-G2</f>
        <v>0</v>
      </c>
      <c r="I2" s="19">
        <f t="shared" ref="I2:I256" si="1">+S2/F2*H2</f>
        <v>0</v>
      </c>
      <c r="J2" s="16">
        <v>8</v>
      </c>
      <c r="K2" s="20">
        <v>4</v>
      </c>
      <c r="L2" s="21"/>
      <c r="M2" s="21"/>
      <c r="N2" s="16">
        <v>0</v>
      </c>
      <c r="O2" s="16">
        <v>0</v>
      </c>
      <c r="P2" s="16">
        <v>0</v>
      </c>
      <c r="Q2" s="16">
        <v>0</v>
      </c>
      <c r="R2" s="16">
        <v>0</v>
      </c>
      <c r="S2" s="22">
        <v>50000</v>
      </c>
      <c r="T2" s="23">
        <f t="shared" ref="T2:T256" si="2">+S2/F2*K2</f>
        <v>6666.666666666667</v>
      </c>
      <c r="U2" s="19">
        <f t="shared" ref="U2:U256" si="3">+V2+W2+X2+AN2</f>
        <v>43334</v>
      </c>
      <c r="V2" s="22">
        <v>36667</v>
      </c>
      <c r="W2" s="22">
        <v>6667</v>
      </c>
      <c r="X2" s="22">
        <v>0</v>
      </c>
      <c r="Y2" s="22">
        <v>0</v>
      </c>
      <c r="Z2" s="22">
        <v>0</v>
      </c>
      <c r="AA2" s="22">
        <v>0</v>
      </c>
      <c r="AB2" s="22">
        <v>0</v>
      </c>
      <c r="AC2" s="22">
        <v>512</v>
      </c>
      <c r="AD2" s="22">
        <v>0</v>
      </c>
      <c r="AE2" s="22">
        <v>0</v>
      </c>
      <c r="AF2" s="22">
        <v>15000</v>
      </c>
      <c r="AG2" s="22">
        <v>0</v>
      </c>
      <c r="AH2" s="22">
        <v>0</v>
      </c>
      <c r="AI2" s="22">
        <v>0</v>
      </c>
      <c r="AJ2" s="22">
        <v>0</v>
      </c>
      <c r="AK2" s="22">
        <v>0</v>
      </c>
      <c r="AL2" s="22">
        <v>0</v>
      </c>
      <c r="AM2" s="22">
        <v>0</v>
      </c>
      <c r="AN2" s="22">
        <v>0</v>
      </c>
      <c r="AO2" s="22">
        <v>0</v>
      </c>
      <c r="AP2" s="22">
        <v>0</v>
      </c>
      <c r="AQ2" s="22">
        <v>0</v>
      </c>
      <c r="AR2" s="22">
        <v>0</v>
      </c>
      <c r="AS2" s="22">
        <v>0</v>
      </c>
      <c r="AT2" s="22">
        <v>0</v>
      </c>
      <c r="AU2" s="19">
        <f t="shared" ref="AU2:AU256" si="4">+Z2+AB2+AC2+AD2+AE2+AF2+AG2+AH2+AI2+AJ2+AK2</f>
        <v>15512</v>
      </c>
      <c r="AV2" s="22">
        <v>27821</v>
      </c>
      <c r="AW2" s="24" t="s">
        <v>54</v>
      </c>
      <c r="AX2" s="25">
        <v>45791</v>
      </c>
      <c r="AY2" s="15"/>
      <c r="AZ2" s="26"/>
      <c r="BA2" s="27">
        <f t="shared" ref="BA2:BA102" si="5">+S2/F2*G2-T2-AU2-AV2+X2</f>
        <v>0.33333333333575865</v>
      </c>
      <c r="BB2" s="14"/>
      <c r="BC2" s="28"/>
    </row>
    <row r="3" spans="1:55" ht="28.8" x14ac:dyDescent="0.4">
      <c r="A3" s="15">
        <v>2</v>
      </c>
      <c r="B3" s="16">
        <v>5051</v>
      </c>
      <c r="C3" s="17" t="s">
        <v>51</v>
      </c>
      <c r="D3" s="17" t="s">
        <v>55</v>
      </c>
      <c r="E3" s="16" t="s">
        <v>56</v>
      </c>
      <c r="F3" s="16">
        <v>30</v>
      </c>
      <c r="G3" s="16">
        <v>30</v>
      </c>
      <c r="H3" s="18">
        <f t="shared" si="0"/>
        <v>0</v>
      </c>
      <c r="I3" s="19">
        <f t="shared" si="1"/>
        <v>0</v>
      </c>
      <c r="J3" s="16">
        <v>2</v>
      </c>
      <c r="K3" s="20">
        <v>0</v>
      </c>
      <c r="L3" s="21"/>
      <c r="M3" s="21"/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22">
        <v>140000</v>
      </c>
      <c r="T3" s="19">
        <f t="shared" si="2"/>
        <v>0</v>
      </c>
      <c r="U3" s="19">
        <f t="shared" si="3"/>
        <v>140000</v>
      </c>
      <c r="V3" s="22">
        <v>140000</v>
      </c>
      <c r="W3" s="22">
        <v>0</v>
      </c>
      <c r="X3" s="22">
        <v>0</v>
      </c>
      <c r="Y3" s="22">
        <v>0</v>
      </c>
      <c r="Z3" s="22">
        <v>0</v>
      </c>
      <c r="AA3" s="22">
        <v>0</v>
      </c>
      <c r="AB3" s="22">
        <v>0</v>
      </c>
      <c r="AC3" s="22">
        <v>0</v>
      </c>
      <c r="AD3" s="22">
        <v>0</v>
      </c>
      <c r="AE3" s="22">
        <v>0</v>
      </c>
      <c r="AF3" s="22">
        <v>0</v>
      </c>
      <c r="AG3" s="22">
        <v>0</v>
      </c>
      <c r="AH3" s="22">
        <v>0</v>
      </c>
      <c r="AI3" s="22">
        <v>0</v>
      </c>
      <c r="AJ3" s="22">
        <v>0</v>
      </c>
      <c r="AK3" s="22">
        <v>0</v>
      </c>
      <c r="AL3" s="22">
        <v>0</v>
      </c>
      <c r="AM3" s="22">
        <v>0</v>
      </c>
      <c r="AN3" s="22">
        <v>0</v>
      </c>
      <c r="AO3" s="22">
        <v>0</v>
      </c>
      <c r="AP3" s="22">
        <v>0</v>
      </c>
      <c r="AQ3" s="22">
        <v>0</v>
      </c>
      <c r="AR3" s="22">
        <v>0</v>
      </c>
      <c r="AS3" s="22">
        <v>0</v>
      </c>
      <c r="AT3" s="22">
        <v>0</v>
      </c>
      <c r="AU3" s="19">
        <f t="shared" si="4"/>
        <v>0</v>
      </c>
      <c r="AV3" s="22">
        <v>140000</v>
      </c>
      <c r="AW3" s="29" t="s">
        <v>54</v>
      </c>
      <c r="AX3" s="25">
        <v>45792</v>
      </c>
      <c r="AY3" s="15"/>
      <c r="AZ3" s="26"/>
      <c r="BA3" s="27">
        <f t="shared" si="5"/>
        <v>0</v>
      </c>
      <c r="BB3" s="14"/>
      <c r="BC3" s="28"/>
    </row>
    <row r="4" spans="1:55" ht="28.8" x14ac:dyDescent="0.4">
      <c r="A4" s="15">
        <v>3</v>
      </c>
      <c r="B4" s="16">
        <v>80657</v>
      </c>
      <c r="C4" s="17" t="s">
        <v>51</v>
      </c>
      <c r="D4" s="16" t="s">
        <v>57</v>
      </c>
      <c r="E4" s="16" t="s">
        <v>58</v>
      </c>
      <c r="F4" s="16">
        <v>30</v>
      </c>
      <c r="G4" s="16">
        <v>30</v>
      </c>
      <c r="H4" s="18">
        <f t="shared" si="0"/>
        <v>0</v>
      </c>
      <c r="I4" s="19">
        <f t="shared" si="1"/>
        <v>0</v>
      </c>
      <c r="J4" s="16">
        <v>3</v>
      </c>
      <c r="K4" s="20">
        <v>1</v>
      </c>
      <c r="L4" s="21"/>
      <c r="M4" s="21"/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30">
        <v>35000</v>
      </c>
      <c r="T4" s="19">
        <f t="shared" si="2"/>
        <v>1166.6666666666667</v>
      </c>
      <c r="U4" s="19">
        <f t="shared" si="3"/>
        <v>35000</v>
      </c>
      <c r="V4" s="22">
        <v>28000</v>
      </c>
      <c r="W4" s="31">
        <v>7000</v>
      </c>
      <c r="X4" s="22">
        <v>0</v>
      </c>
      <c r="Y4" s="22">
        <v>0</v>
      </c>
      <c r="Z4" s="22">
        <v>0</v>
      </c>
      <c r="AA4" s="22">
        <v>0</v>
      </c>
      <c r="AB4" s="22">
        <v>0</v>
      </c>
      <c r="AC4" s="22">
        <v>512</v>
      </c>
      <c r="AD4" s="22">
        <v>0</v>
      </c>
      <c r="AE4" s="22">
        <v>0</v>
      </c>
      <c r="AF4" s="22">
        <v>5000</v>
      </c>
      <c r="AG4" s="22">
        <v>0</v>
      </c>
      <c r="AH4" s="22">
        <v>0</v>
      </c>
      <c r="AI4" s="22">
        <v>0</v>
      </c>
      <c r="AJ4" s="22">
        <v>0</v>
      </c>
      <c r="AK4" s="22">
        <v>0</v>
      </c>
      <c r="AL4" s="22">
        <v>0</v>
      </c>
      <c r="AM4" s="22">
        <v>0</v>
      </c>
      <c r="AN4" s="22">
        <v>0</v>
      </c>
      <c r="AO4" s="22">
        <v>0</v>
      </c>
      <c r="AP4" s="22">
        <v>0</v>
      </c>
      <c r="AQ4" s="22">
        <v>0</v>
      </c>
      <c r="AR4" s="22">
        <v>0</v>
      </c>
      <c r="AS4" s="22">
        <v>0</v>
      </c>
      <c r="AT4" s="22">
        <v>0</v>
      </c>
      <c r="AU4" s="19">
        <f t="shared" si="4"/>
        <v>5512</v>
      </c>
      <c r="AV4" s="22">
        <f>25988+3500</f>
        <v>29488</v>
      </c>
      <c r="AW4" s="24" t="s">
        <v>54</v>
      </c>
      <c r="AX4" s="25">
        <v>45792</v>
      </c>
      <c r="AY4" s="15"/>
      <c r="AZ4" s="26"/>
      <c r="BA4" s="27">
        <f t="shared" si="5"/>
        <v>-1166.6666666666642</v>
      </c>
      <c r="BB4" s="14"/>
      <c r="BC4" s="28"/>
    </row>
    <row r="5" spans="1:55" ht="42.6" x14ac:dyDescent="0.4">
      <c r="A5" s="15">
        <v>4</v>
      </c>
      <c r="B5" s="16">
        <v>23008</v>
      </c>
      <c r="C5" s="17" t="s">
        <v>59</v>
      </c>
      <c r="D5" s="16" t="s">
        <v>60</v>
      </c>
      <c r="E5" s="16" t="s">
        <v>61</v>
      </c>
      <c r="F5" s="16">
        <v>30</v>
      </c>
      <c r="G5" s="16">
        <v>30</v>
      </c>
      <c r="H5" s="18">
        <f t="shared" si="0"/>
        <v>0</v>
      </c>
      <c r="I5" s="19">
        <f t="shared" si="1"/>
        <v>0</v>
      </c>
      <c r="J5" s="16">
        <v>0</v>
      </c>
      <c r="K5" s="20">
        <v>0</v>
      </c>
      <c r="L5" s="21"/>
      <c r="M5" s="21"/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30">
        <v>35000</v>
      </c>
      <c r="T5" s="19">
        <f t="shared" si="2"/>
        <v>0</v>
      </c>
      <c r="U5" s="19">
        <f t="shared" si="3"/>
        <v>35000</v>
      </c>
      <c r="V5" s="22">
        <v>35000</v>
      </c>
      <c r="W5" s="31">
        <v>0</v>
      </c>
      <c r="X5" s="22">
        <v>0</v>
      </c>
      <c r="Y5" s="22">
        <v>0</v>
      </c>
      <c r="Z5" s="22">
        <v>0</v>
      </c>
      <c r="AA5" s="22">
        <v>0</v>
      </c>
      <c r="AB5" s="22">
        <v>0</v>
      </c>
      <c r="AC5" s="22">
        <v>0</v>
      </c>
      <c r="AD5" s="22">
        <v>0</v>
      </c>
      <c r="AE5" s="22">
        <v>0</v>
      </c>
      <c r="AF5" s="22">
        <v>5000</v>
      </c>
      <c r="AG5" s="22">
        <v>0</v>
      </c>
      <c r="AH5" s="22">
        <v>0</v>
      </c>
      <c r="AI5" s="22">
        <v>0</v>
      </c>
      <c r="AJ5" s="22">
        <v>0</v>
      </c>
      <c r="AK5" s="22">
        <v>0</v>
      </c>
      <c r="AL5" s="22">
        <v>0</v>
      </c>
      <c r="AM5" s="22">
        <v>0</v>
      </c>
      <c r="AN5" s="22">
        <v>0</v>
      </c>
      <c r="AO5" s="22">
        <v>0</v>
      </c>
      <c r="AP5" s="22">
        <v>0</v>
      </c>
      <c r="AQ5" s="22">
        <v>0</v>
      </c>
      <c r="AR5" s="22">
        <v>0</v>
      </c>
      <c r="AS5" s="22">
        <v>0</v>
      </c>
      <c r="AT5" s="22">
        <v>0</v>
      </c>
      <c r="AU5" s="19">
        <f t="shared" si="4"/>
        <v>5000</v>
      </c>
      <c r="AV5" s="22">
        <v>30000</v>
      </c>
      <c r="AW5" s="24" t="s">
        <v>54</v>
      </c>
      <c r="AX5" s="25">
        <v>45791</v>
      </c>
      <c r="AY5" s="15"/>
      <c r="AZ5" s="26"/>
      <c r="BA5" s="27">
        <f t="shared" si="5"/>
        <v>0</v>
      </c>
      <c r="BB5" s="14"/>
      <c r="BC5" s="28">
        <f>16000-1050</f>
        <v>14950</v>
      </c>
    </row>
    <row r="6" spans="1:55" ht="56.4" x14ac:dyDescent="0.4">
      <c r="A6" s="15">
        <v>5</v>
      </c>
      <c r="B6" s="16">
        <v>25016</v>
      </c>
      <c r="C6" s="17" t="s">
        <v>59</v>
      </c>
      <c r="D6" s="16" t="s">
        <v>62</v>
      </c>
      <c r="E6" s="16" t="s">
        <v>63</v>
      </c>
      <c r="F6" s="16">
        <v>30</v>
      </c>
      <c r="G6" s="16">
        <v>30</v>
      </c>
      <c r="H6" s="18">
        <f t="shared" si="0"/>
        <v>0</v>
      </c>
      <c r="I6" s="19">
        <f t="shared" si="1"/>
        <v>0</v>
      </c>
      <c r="J6" s="16">
        <v>0</v>
      </c>
      <c r="K6" s="20">
        <v>0</v>
      </c>
      <c r="L6" s="21"/>
      <c r="M6" s="21"/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30">
        <v>175000</v>
      </c>
      <c r="T6" s="19">
        <f t="shared" si="2"/>
        <v>0</v>
      </c>
      <c r="U6" s="19">
        <f t="shared" si="3"/>
        <v>175000</v>
      </c>
      <c r="V6" s="22">
        <v>175000</v>
      </c>
      <c r="W6" s="31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2">
        <v>9394</v>
      </c>
      <c r="AD6" s="22">
        <v>0</v>
      </c>
      <c r="AE6" s="22">
        <v>0</v>
      </c>
      <c r="AF6" s="22">
        <v>30000</v>
      </c>
      <c r="AG6" s="22">
        <v>0</v>
      </c>
      <c r="AH6" s="22">
        <v>0</v>
      </c>
      <c r="AI6" s="22">
        <v>0</v>
      </c>
      <c r="AJ6" s="22">
        <v>0</v>
      </c>
      <c r="AK6" s="22">
        <v>0</v>
      </c>
      <c r="AL6" s="22">
        <v>0</v>
      </c>
      <c r="AM6" s="22">
        <v>0</v>
      </c>
      <c r="AN6" s="22">
        <v>0</v>
      </c>
      <c r="AO6" s="22">
        <v>0</v>
      </c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19">
        <f t="shared" si="4"/>
        <v>39394</v>
      </c>
      <c r="AV6" s="22">
        <v>135606</v>
      </c>
      <c r="AW6" s="24" t="s">
        <v>54</v>
      </c>
      <c r="AX6" s="25">
        <v>45792</v>
      </c>
      <c r="AY6" s="15"/>
      <c r="AZ6" s="26"/>
      <c r="BA6" s="27">
        <f t="shared" si="5"/>
        <v>0</v>
      </c>
      <c r="BB6" s="14"/>
      <c r="BC6" s="28"/>
    </row>
    <row r="7" spans="1:55" ht="28.8" x14ac:dyDescent="0.4">
      <c r="A7" s="15">
        <v>6</v>
      </c>
      <c r="B7" s="16">
        <v>29148</v>
      </c>
      <c r="C7" s="17" t="s">
        <v>59</v>
      </c>
      <c r="D7" s="16" t="s">
        <v>64</v>
      </c>
      <c r="E7" s="16" t="s">
        <v>65</v>
      </c>
      <c r="F7" s="16">
        <v>30</v>
      </c>
      <c r="G7" s="16">
        <v>30</v>
      </c>
      <c r="H7" s="18">
        <f t="shared" si="0"/>
        <v>0</v>
      </c>
      <c r="I7" s="19">
        <f t="shared" si="1"/>
        <v>0</v>
      </c>
      <c r="J7" s="16">
        <v>12</v>
      </c>
      <c r="K7" s="20">
        <v>6</v>
      </c>
      <c r="L7" s="21"/>
      <c r="M7" s="21"/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30">
        <v>60000</v>
      </c>
      <c r="T7" s="23">
        <f t="shared" si="2"/>
        <v>12000</v>
      </c>
      <c r="U7" s="19">
        <f t="shared" si="3"/>
        <v>48000</v>
      </c>
      <c r="V7" s="22">
        <v>36000</v>
      </c>
      <c r="W7" s="31">
        <v>12000</v>
      </c>
      <c r="X7" s="22">
        <v>0</v>
      </c>
      <c r="Y7" s="22">
        <v>0</v>
      </c>
      <c r="Z7" s="22">
        <v>0</v>
      </c>
      <c r="AA7" s="22">
        <v>0</v>
      </c>
      <c r="AB7" s="32">
        <v>5000</v>
      </c>
      <c r="AC7" s="22">
        <v>0</v>
      </c>
      <c r="AD7" s="22">
        <v>5000</v>
      </c>
      <c r="AE7" s="22">
        <v>0</v>
      </c>
      <c r="AF7" s="22">
        <v>20000</v>
      </c>
      <c r="AG7" s="32"/>
      <c r="AH7" s="22">
        <v>0</v>
      </c>
      <c r="AI7" s="22">
        <v>0</v>
      </c>
      <c r="AJ7" s="22">
        <v>0</v>
      </c>
      <c r="AK7" s="22">
        <v>0</v>
      </c>
      <c r="AL7" s="22">
        <v>0</v>
      </c>
      <c r="AM7" s="22">
        <v>0</v>
      </c>
      <c r="AN7" s="22">
        <v>0</v>
      </c>
      <c r="AO7" s="22">
        <v>0</v>
      </c>
      <c r="AP7" s="22">
        <v>0</v>
      </c>
      <c r="AQ7" s="22">
        <v>0</v>
      </c>
      <c r="AR7" s="22">
        <v>0</v>
      </c>
      <c r="AS7" s="22">
        <v>0</v>
      </c>
      <c r="AT7" s="22">
        <v>0</v>
      </c>
      <c r="AU7" s="19">
        <f t="shared" si="4"/>
        <v>30000</v>
      </c>
      <c r="AV7" s="22">
        <v>18000</v>
      </c>
      <c r="AW7" s="24" t="s">
        <v>54</v>
      </c>
      <c r="AX7" s="25">
        <v>45791</v>
      </c>
      <c r="AY7" s="15"/>
      <c r="AZ7" s="26"/>
      <c r="BA7" s="27">
        <f t="shared" si="5"/>
        <v>0</v>
      </c>
      <c r="BB7" s="14"/>
      <c r="BC7" s="28"/>
    </row>
    <row r="8" spans="1:55" ht="28.8" x14ac:dyDescent="0.4">
      <c r="A8" s="15">
        <v>7</v>
      </c>
      <c r="B8" s="16">
        <v>12059</v>
      </c>
      <c r="C8" s="17" t="s">
        <v>59</v>
      </c>
      <c r="D8" s="16" t="s">
        <v>66</v>
      </c>
      <c r="E8" s="16" t="s">
        <v>67</v>
      </c>
      <c r="F8" s="16">
        <v>30</v>
      </c>
      <c r="G8" s="16">
        <v>30</v>
      </c>
      <c r="H8" s="18">
        <f t="shared" si="0"/>
        <v>0</v>
      </c>
      <c r="I8" s="19">
        <f t="shared" si="1"/>
        <v>0</v>
      </c>
      <c r="J8" s="16">
        <v>5</v>
      </c>
      <c r="K8" s="20">
        <v>2</v>
      </c>
      <c r="L8" s="21"/>
      <c r="M8" s="21"/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30">
        <v>30000</v>
      </c>
      <c r="T8" s="19">
        <f t="shared" si="2"/>
        <v>2000</v>
      </c>
      <c r="U8" s="19">
        <f t="shared" si="3"/>
        <v>28000</v>
      </c>
      <c r="V8" s="22">
        <v>25000</v>
      </c>
      <c r="W8" s="31">
        <v>3000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0</v>
      </c>
      <c r="AF8" s="22">
        <v>5000</v>
      </c>
      <c r="AG8" s="22">
        <v>0</v>
      </c>
      <c r="AH8" s="22">
        <v>0</v>
      </c>
      <c r="AI8" s="22">
        <v>0</v>
      </c>
      <c r="AJ8" s="22">
        <v>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19">
        <f t="shared" si="4"/>
        <v>5000</v>
      </c>
      <c r="AV8" s="22">
        <v>23000</v>
      </c>
      <c r="AW8" s="24" t="s">
        <v>54</v>
      </c>
      <c r="AX8" s="25">
        <v>45789</v>
      </c>
      <c r="AY8" s="15"/>
      <c r="AZ8" s="26"/>
      <c r="BA8" s="27">
        <f t="shared" si="5"/>
        <v>0</v>
      </c>
      <c r="BB8" s="14"/>
      <c r="BC8" s="28"/>
    </row>
    <row r="9" spans="1:55" ht="42.6" x14ac:dyDescent="0.4">
      <c r="A9" s="15">
        <v>8</v>
      </c>
      <c r="B9" s="16">
        <v>23024</v>
      </c>
      <c r="C9" s="17" t="s">
        <v>59</v>
      </c>
      <c r="D9" s="16" t="s">
        <v>68</v>
      </c>
      <c r="E9" s="16" t="s">
        <v>69</v>
      </c>
      <c r="F9" s="16">
        <v>30</v>
      </c>
      <c r="G9" s="16">
        <v>29</v>
      </c>
      <c r="H9" s="18">
        <f t="shared" si="0"/>
        <v>1</v>
      </c>
      <c r="I9" s="19">
        <f t="shared" si="1"/>
        <v>1283.3333333333333</v>
      </c>
      <c r="J9" s="16">
        <v>4</v>
      </c>
      <c r="K9" s="20">
        <v>2</v>
      </c>
      <c r="L9" s="21"/>
      <c r="M9" s="21"/>
      <c r="N9" s="16">
        <v>1</v>
      </c>
      <c r="O9" s="16">
        <v>0</v>
      </c>
      <c r="P9" s="16">
        <v>0</v>
      </c>
      <c r="Q9" s="16">
        <v>0</v>
      </c>
      <c r="R9" s="16">
        <v>0</v>
      </c>
      <c r="S9" s="30">
        <v>38500</v>
      </c>
      <c r="T9" s="19">
        <f t="shared" si="2"/>
        <v>2566.6666666666665</v>
      </c>
      <c r="U9" s="19">
        <f t="shared" si="3"/>
        <v>37859</v>
      </c>
      <c r="V9" s="22">
        <v>32083</v>
      </c>
      <c r="W9" s="31">
        <f>2567+2567</f>
        <v>5134</v>
      </c>
      <c r="X9" s="22">
        <v>642</v>
      </c>
      <c r="Y9" s="22">
        <v>0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22">
        <v>7000</v>
      </c>
      <c r="AG9" s="22">
        <v>0</v>
      </c>
      <c r="AH9" s="22">
        <v>0</v>
      </c>
      <c r="AI9" s="22">
        <v>0</v>
      </c>
      <c r="AJ9" s="22">
        <v>0</v>
      </c>
      <c r="AK9" s="22">
        <v>0</v>
      </c>
      <c r="AL9" s="22">
        <v>0</v>
      </c>
      <c r="AM9" s="22">
        <v>0</v>
      </c>
      <c r="AN9" s="22">
        <v>0</v>
      </c>
      <c r="AO9" s="22">
        <v>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19">
        <f t="shared" si="4"/>
        <v>7000</v>
      </c>
      <c r="AV9" s="22">
        <f>28292+2567</f>
        <v>30859</v>
      </c>
      <c r="AW9" s="29" t="s">
        <v>54</v>
      </c>
      <c r="AX9" s="25">
        <v>45791</v>
      </c>
      <c r="AY9" s="15"/>
      <c r="AZ9" s="26"/>
      <c r="BA9" s="27">
        <f t="shared" si="5"/>
        <v>-2567</v>
      </c>
      <c r="BB9" s="14"/>
      <c r="BC9" s="28"/>
    </row>
    <row r="10" spans="1:55" ht="42.6" x14ac:dyDescent="0.4">
      <c r="A10" s="15">
        <v>9</v>
      </c>
      <c r="B10" s="16">
        <v>23026</v>
      </c>
      <c r="C10" s="17" t="s">
        <v>59</v>
      </c>
      <c r="D10" s="16" t="s">
        <v>70</v>
      </c>
      <c r="E10" s="16" t="s">
        <v>71</v>
      </c>
      <c r="F10" s="16">
        <v>30</v>
      </c>
      <c r="G10" s="16">
        <v>30</v>
      </c>
      <c r="H10" s="18">
        <f t="shared" si="0"/>
        <v>0</v>
      </c>
      <c r="I10" s="19">
        <f t="shared" si="1"/>
        <v>0</v>
      </c>
      <c r="J10" s="16">
        <v>2</v>
      </c>
      <c r="K10" s="33">
        <v>1</v>
      </c>
      <c r="L10" s="21"/>
      <c r="M10" s="21"/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30">
        <v>70000</v>
      </c>
      <c r="T10" s="19">
        <f t="shared" si="2"/>
        <v>2333.3333333333335</v>
      </c>
      <c r="U10" s="19">
        <f t="shared" si="3"/>
        <v>70000</v>
      </c>
      <c r="V10" s="22">
        <v>65333</v>
      </c>
      <c r="W10" s="31">
        <f>2333+2333+1</f>
        <v>4667</v>
      </c>
      <c r="X10" s="22">
        <v>0</v>
      </c>
      <c r="Y10" s="22">
        <v>0</v>
      </c>
      <c r="Z10" s="22">
        <v>0</v>
      </c>
      <c r="AA10" s="22">
        <v>0</v>
      </c>
      <c r="AB10" s="22">
        <v>0</v>
      </c>
      <c r="AC10" s="22">
        <f>9979-1527</f>
        <v>8452</v>
      </c>
      <c r="AD10" s="22">
        <v>0</v>
      </c>
      <c r="AE10" s="22">
        <v>0</v>
      </c>
      <c r="AF10" s="22">
        <v>20000</v>
      </c>
      <c r="AG10" s="22">
        <v>0</v>
      </c>
      <c r="AH10" s="22">
        <v>0</v>
      </c>
      <c r="AI10" s="22">
        <v>0</v>
      </c>
      <c r="AJ10" s="22">
        <v>0</v>
      </c>
      <c r="AK10" s="22">
        <v>0</v>
      </c>
      <c r="AL10" s="22">
        <v>0</v>
      </c>
      <c r="AM10" s="22">
        <v>0</v>
      </c>
      <c r="AN10" s="22">
        <v>0</v>
      </c>
      <c r="AO10" s="22">
        <v>0</v>
      </c>
      <c r="AP10" s="22">
        <v>0</v>
      </c>
      <c r="AQ10" s="22">
        <v>0</v>
      </c>
      <c r="AR10" s="22">
        <v>0</v>
      </c>
      <c r="AS10" s="22">
        <v>0</v>
      </c>
      <c r="AT10" s="22">
        <v>0</v>
      </c>
      <c r="AU10" s="19">
        <f t="shared" si="4"/>
        <v>28452</v>
      </c>
      <c r="AV10" s="22">
        <f>39215+2333</f>
        <v>41548</v>
      </c>
      <c r="AW10" s="29" t="s">
        <v>54</v>
      </c>
      <c r="AX10" s="25">
        <v>45791</v>
      </c>
      <c r="AY10" s="15"/>
      <c r="AZ10" s="26"/>
      <c r="BA10" s="27">
        <f t="shared" si="5"/>
        <v>-2333.3333333333285</v>
      </c>
      <c r="BB10" s="14"/>
      <c r="BC10" s="28"/>
    </row>
    <row r="11" spans="1:55" ht="28.8" x14ac:dyDescent="0.4">
      <c r="A11" s="15">
        <v>10</v>
      </c>
      <c r="B11" s="16">
        <v>80328</v>
      </c>
      <c r="C11" s="17" t="s">
        <v>59</v>
      </c>
      <c r="D11" s="16" t="s">
        <v>72</v>
      </c>
      <c r="E11" s="16" t="s">
        <v>73</v>
      </c>
      <c r="F11" s="16">
        <v>30</v>
      </c>
      <c r="G11" s="16">
        <v>30</v>
      </c>
      <c r="H11" s="18">
        <f t="shared" si="0"/>
        <v>0</v>
      </c>
      <c r="I11" s="19">
        <f t="shared" si="1"/>
        <v>0</v>
      </c>
      <c r="J11" s="16">
        <v>3</v>
      </c>
      <c r="K11" s="33">
        <v>1</v>
      </c>
      <c r="L11" s="21"/>
      <c r="M11" s="21"/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30">
        <v>65000</v>
      </c>
      <c r="T11" s="19">
        <f t="shared" si="2"/>
        <v>2166.6666666666665</v>
      </c>
      <c r="U11" s="19">
        <f t="shared" si="3"/>
        <v>65000</v>
      </c>
      <c r="V11" s="22">
        <v>58500</v>
      </c>
      <c r="W11" s="31">
        <f>4333+2167</f>
        <v>6500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22">
        <v>1035</v>
      </c>
      <c r="AD11" s="22">
        <v>0</v>
      </c>
      <c r="AE11" s="22">
        <v>0</v>
      </c>
      <c r="AF11" s="22">
        <v>15000</v>
      </c>
      <c r="AG11" s="22">
        <v>0</v>
      </c>
      <c r="AH11" s="22">
        <v>0</v>
      </c>
      <c r="AI11" s="22">
        <v>0</v>
      </c>
      <c r="AJ11" s="22">
        <v>0</v>
      </c>
      <c r="AK11" s="22">
        <v>0</v>
      </c>
      <c r="AL11" s="22">
        <v>0</v>
      </c>
      <c r="AM11" s="22">
        <v>0</v>
      </c>
      <c r="AN11" s="22">
        <v>0</v>
      </c>
      <c r="AO11" s="22">
        <v>0</v>
      </c>
      <c r="AP11" s="22">
        <v>0</v>
      </c>
      <c r="AQ11" s="22">
        <v>0</v>
      </c>
      <c r="AR11" s="22">
        <v>0</v>
      </c>
      <c r="AS11" s="22">
        <v>0</v>
      </c>
      <c r="AT11" s="22">
        <v>0</v>
      </c>
      <c r="AU11" s="19">
        <f t="shared" si="4"/>
        <v>16035</v>
      </c>
      <c r="AV11" s="22">
        <f>46798.33+2167</f>
        <v>48965.33</v>
      </c>
      <c r="AW11" s="29" t="s">
        <v>54</v>
      </c>
      <c r="AX11" s="25">
        <v>45791</v>
      </c>
      <c r="AY11" s="15"/>
      <c r="AZ11" s="26"/>
      <c r="BA11" s="27">
        <f t="shared" si="5"/>
        <v>-2166.9966666666733</v>
      </c>
      <c r="BB11" s="14"/>
      <c r="BC11" s="28"/>
    </row>
    <row r="12" spans="1:55" ht="42.6" x14ac:dyDescent="0.4">
      <c r="A12" s="15">
        <v>11</v>
      </c>
      <c r="B12" s="16">
        <v>80416</v>
      </c>
      <c r="C12" s="17" t="s">
        <v>59</v>
      </c>
      <c r="D12" s="16" t="s">
        <v>74</v>
      </c>
      <c r="E12" s="16" t="s">
        <v>75</v>
      </c>
      <c r="F12" s="16">
        <v>30</v>
      </c>
      <c r="G12" s="16">
        <v>15</v>
      </c>
      <c r="H12" s="18">
        <f t="shared" si="0"/>
        <v>15</v>
      </c>
      <c r="I12" s="19">
        <f t="shared" si="1"/>
        <v>12500</v>
      </c>
      <c r="J12" s="16">
        <v>0</v>
      </c>
      <c r="K12" s="20">
        <v>0</v>
      </c>
      <c r="L12" s="21"/>
      <c r="M12" s="21"/>
      <c r="N12" s="16">
        <v>0</v>
      </c>
      <c r="O12" s="16">
        <v>0</v>
      </c>
      <c r="P12" s="16">
        <v>0</v>
      </c>
      <c r="Q12" s="16">
        <v>0</v>
      </c>
      <c r="R12" s="16">
        <v>15</v>
      </c>
      <c r="S12" s="22">
        <v>25000</v>
      </c>
      <c r="T12" s="19">
        <f t="shared" si="2"/>
        <v>0</v>
      </c>
      <c r="U12" s="19">
        <f t="shared" si="3"/>
        <v>12500</v>
      </c>
      <c r="V12" s="22">
        <v>12500</v>
      </c>
      <c r="W12" s="31">
        <v>0</v>
      </c>
      <c r="X12" s="22">
        <v>0</v>
      </c>
      <c r="Y12" s="22">
        <v>0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2">
        <v>0</v>
      </c>
      <c r="AL12" s="22">
        <v>0</v>
      </c>
      <c r="AM12" s="22">
        <v>0</v>
      </c>
      <c r="AN12" s="22">
        <v>0</v>
      </c>
      <c r="AO12" s="22">
        <v>0</v>
      </c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19">
        <f t="shared" si="4"/>
        <v>0</v>
      </c>
      <c r="AV12" s="22">
        <v>12500</v>
      </c>
      <c r="AW12" s="24"/>
      <c r="AX12" s="34"/>
      <c r="AY12" s="15"/>
      <c r="AZ12" s="26"/>
      <c r="BA12" s="27">
        <f t="shared" si="5"/>
        <v>0</v>
      </c>
      <c r="BB12" s="14"/>
      <c r="BC12" s="28"/>
    </row>
    <row r="13" spans="1:55" ht="28.8" x14ac:dyDescent="0.4">
      <c r="A13" s="15">
        <v>12</v>
      </c>
      <c r="B13" s="16">
        <v>80471</v>
      </c>
      <c r="C13" s="17" t="s">
        <v>59</v>
      </c>
      <c r="D13" s="16" t="s">
        <v>76</v>
      </c>
      <c r="E13" s="16" t="s">
        <v>77</v>
      </c>
      <c r="F13" s="16">
        <v>30</v>
      </c>
      <c r="G13" s="16">
        <v>19</v>
      </c>
      <c r="H13" s="18">
        <f t="shared" si="0"/>
        <v>11</v>
      </c>
      <c r="I13" s="19">
        <f t="shared" si="1"/>
        <v>9166.6666666666679</v>
      </c>
      <c r="J13" s="16">
        <v>0</v>
      </c>
      <c r="K13" s="20">
        <v>0</v>
      </c>
      <c r="L13" s="21"/>
      <c r="M13" s="21"/>
      <c r="N13" s="16">
        <v>0</v>
      </c>
      <c r="O13" s="16">
        <v>0</v>
      </c>
      <c r="P13" s="16">
        <v>0</v>
      </c>
      <c r="Q13" s="16">
        <v>0</v>
      </c>
      <c r="R13" s="16">
        <v>11</v>
      </c>
      <c r="S13" s="22">
        <v>25000</v>
      </c>
      <c r="T13" s="19">
        <f t="shared" si="2"/>
        <v>0</v>
      </c>
      <c r="U13" s="19">
        <f t="shared" si="3"/>
        <v>15833</v>
      </c>
      <c r="V13" s="22">
        <v>15833</v>
      </c>
      <c r="W13" s="31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2">
        <v>0</v>
      </c>
      <c r="AL13" s="22">
        <v>0</v>
      </c>
      <c r="AM13" s="22">
        <v>0</v>
      </c>
      <c r="AN13" s="22">
        <v>0</v>
      </c>
      <c r="AO13" s="22">
        <v>0</v>
      </c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19">
        <f t="shared" si="4"/>
        <v>0</v>
      </c>
      <c r="AV13" s="22">
        <v>15833.33</v>
      </c>
      <c r="AW13" s="24" t="s">
        <v>54</v>
      </c>
      <c r="AX13" s="25">
        <v>45790</v>
      </c>
      <c r="AY13" s="15"/>
      <c r="AZ13" s="26"/>
      <c r="BA13" s="27">
        <f t="shared" si="5"/>
        <v>3.3333333340124227E-3</v>
      </c>
      <c r="BB13" s="14"/>
      <c r="BC13" s="28"/>
    </row>
    <row r="14" spans="1:55" ht="42.6" x14ac:dyDescent="0.4">
      <c r="A14" s="15">
        <v>13</v>
      </c>
      <c r="B14" s="16">
        <v>80527</v>
      </c>
      <c r="C14" s="17" t="s">
        <v>59</v>
      </c>
      <c r="D14" s="16" t="s">
        <v>78</v>
      </c>
      <c r="E14" s="16" t="s">
        <v>79</v>
      </c>
      <c r="F14" s="16">
        <v>30</v>
      </c>
      <c r="G14" s="16">
        <v>30</v>
      </c>
      <c r="H14" s="18">
        <f t="shared" si="0"/>
        <v>0</v>
      </c>
      <c r="I14" s="19">
        <f t="shared" si="1"/>
        <v>0</v>
      </c>
      <c r="J14" s="16">
        <v>6</v>
      </c>
      <c r="K14" s="20">
        <v>3</v>
      </c>
      <c r="L14" s="21"/>
      <c r="M14" s="21"/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22">
        <v>175000</v>
      </c>
      <c r="T14" s="23">
        <f t="shared" si="2"/>
        <v>17500</v>
      </c>
      <c r="U14" s="19">
        <f t="shared" si="3"/>
        <v>157500</v>
      </c>
      <c r="V14" s="22">
        <v>140000</v>
      </c>
      <c r="W14" s="31">
        <v>17500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450</v>
      </c>
      <c r="AD14" s="22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2">
        <v>0</v>
      </c>
      <c r="AL14" s="22">
        <v>0</v>
      </c>
      <c r="AM14" s="22">
        <v>0</v>
      </c>
      <c r="AN14" s="22">
        <v>0</v>
      </c>
      <c r="AO14" s="22">
        <v>0</v>
      </c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19">
        <f t="shared" si="4"/>
        <v>450</v>
      </c>
      <c r="AV14" s="22">
        <v>157050</v>
      </c>
      <c r="AW14" s="24" t="s">
        <v>54</v>
      </c>
      <c r="AX14" s="34">
        <v>-100000</v>
      </c>
      <c r="AY14" s="15">
        <v>17500</v>
      </c>
      <c r="AZ14" s="26"/>
      <c r="BA14" s="27">
        <f t="shared" si="5"/>
        <v>0</v>
      </c>
      <c r="BB14" s="14"/>
      <c r="BC14" s="28"/>
    </row>
    <row r="15" spans="1:55" ht="28.8" x14ac:dyDescent="0.4">
      <c r="A15" s="15">
        <v>14</v>
      </c>
      <c r="B15" s="16">
        <v>1014</v>
      </c>
      <c r="C15" s="63" t="s">
        <v>96</v>
      </c>
      <c r="D15" s="16" t="s">
        <v>81</v>
      </c>
      <c r="E15" s="16" t="s">
        <v>82</v>
      </c>
      <c r="F15" s="16">
        <v>30</v>
      </c>
      <c r="G15" s="16">
        <v>30</v>
      </c>
      <c r="H15" s="18">
        <f t="shared" si="0"/>
        <v>0</v>
      </c>
      <c r="I15" s="19">
        <f t="shared" si="1"/>
        <v>0</v>
      </c>
      <c r="J15" s="16">
        <v>2</v>
      </c>
      <c r="K15" s="33">
        <v>1</v>
      </c>
      <c r="L15" s="21"/>
      <c r="M15" s="21"/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22">
        <v>66000</v>
      </c>
      <c r="T15" s="19">
        <f t="shared" si="2"/>
        <v>2200</v>
      </c>
      <c r="U15" s="19">
        <f t="shared" si="3"/>
        <v>66000</v>
      </c>
      <c r="V15" s="22">
        <v>61600</v>
      </c>
      <c r="W15" s="31">
        <f>2200+2200</f>
        <v>4400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10000</v>
      </c>
      <c r="AG15" s="22">
        <v>0</v>
      </c>
      <c r="AH15" s="22">
        <v>0</v>
      </c>
      <c r="AI15" s="22">
        <v>0</v>
      </c>
      <c r="AJ15" s="22">
        <v>0</v>
      </c>
      <c r="AK15" s="22">
        <v>0</v>
      </c>
      <c r="AL15" s="22">
        <v>0</v>
      </c>
      <c r="AM15" s="22">
        <v>0</v>
      </c>
      <c r="AN15" s="22">
        <v>0</v>
      </c>
      <c r="AO15" s="22">
        <v>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19">
        <f t="shared" si="4"/>
        <v>10000</v>
      </c>
      <c r="AV15" s="22">
        <f>53800+2200</f>
        <v>56000</v>
      </c>
      <c r="AW15" s="29" t="s">
        <v>54</v>
      </c>
      <c r="AX15" s="25">
        <v>45789</v>
      </c>
      <c r="AY15" s="15"/>
      <c r="AZ15" s="26"/>
      <c r="BA15" s="27">
        <f t="shared" si="5"/>
        <v>-2200</v>
      </c>
      <c r="BB15" s="14"/>
      <c r="BC15" s="28"/>
    </row>
    <row r="16" spans="1:55" ht="28.8" x14ac:dyDescent="0.4">
      <c r="A16" s="15">
        <v>15</v>
      </c>
      <c r="B16" s="16">
        <v>18005</v>
      </c>
      <c r="C16" s="16" t="s">
        <v>83</v>
      </c>
      <c r="D16" s="16" t="s">
        <v>83</v>
      </c>
      <c r="E16" s="16" t="s">
        <v>84</v>
      </c>
      <c r="F16" s="16">
        <v>30</v>
      </c>
      <c r="G16" s="16">
        <v>29</v>
      </c>
      <c r="H16" s="18">
        <f t="shared" si="0"/>
        <v>1</v>
      </c>
      <c r="I16" s="19">
        <f t="shared" si="1"/>
        <v>916.66666666666663</v>
      </c>
      <c r="J16" s="16">
        <v>4</v>
      </c>
      <c r="K16" s="20">
        <v>2</v>
      </c>
      <c r="L16" s="21"/>
      <c r="M16" s="21"/>
      <c r="N16" s="16">
        <v>0</v>
      </c>
      <c r="O16" s="16">
        <v>0</v>
      </c>
      <c r="P16" s="16">
        <v>1</v>
      </c>
      <c r="Q16" s="16">
        <v>0</v>
      </c>
      <c r="R16" s="16">
        <v>0</v>
      </c>
      <c r="S16" s="22">
        <v>27500</v>
      </c>
      <c r="T16" s="19">
        <f t="shared" si="2"/>
        <v>1833.3333333333333</v>
      </c>
      <c r="U16" s="19">
        <f t="shared" si="3"/>
        <v>24750</v>
      </c>
      <c r="V16" s="22">
        <v>22917</v>
      </c>
      <c r="W16" s="31">
        <v>1833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5000</v>
      </c>
      <c r="AG16" s="22">
        <v>0</v>
      </c>
      <c r="AH16" s="22">
        <v>0</v>
      </c>
      <c r="AI16" s="22">
        <v>0</v>
      </c>
      <c r="AJ16" s="22">
        <v>0</v>
      </c>
      <c r="AK16" s="22">
        <v>0</v>
      </c>
      <c r="AL16" s="22">
        <v>0</v>
      </c>
      <c r="AM16" s="22">
        <v>0</v>
      </c>
      <c r="AN16" s="22">
        <v>0</v>
      </c>
      <c r="AO16" s="22">
        <v>0</v>
      </c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19">
        <f t="shared" si="4"/>
        <v>5000</v>
      </c>
      <c r="AV16" s="22">
        <v>19750</v>
      </c>
      <c r="AW16" s="24" t="s">
        <v>54</v>
      </c>
      <c r="AX16" s="25">
        <v>45789</v>
      </c>
      <c r="AY16" s="15"/>
      <c r="AZ16" s="26"/>
      <c r="BA16" s="27">
        <f t="shared" si="5"/>
        <v>0</v>
      </c>
      <c r="BB16" s="14"/>
      <c r="BC16" s="28"/>
    </row>
    <row r="17" spans="1:55" ht="28.8" x14ac:dyDescent="0.4">
      <c r="A17" s="15">
        <v>16</v>
      </c>
      <c r="B17" s="16">
        <v>18009</v>
      </c>
      <c r="C17" s="16" t="s">
        <v>83</v>
      </c>
      <c r="D17" s="16" t="s">
        <v>83</v>
      </c>
      <c r="E17" s="16" t="s">
        <v>85</v>
      </c>
      <c r="F17" s="16">
        <v>30</v>
      </c>
      <c r="G17" s="16">
        <v>30</v>
      </c>
      <c r="H17" s="18">
        <f t="shared" si="0"/>
        <v>0</v>
      </c>
      <c r="I17" s="19">
        <f t="shared" si="1"/>
        <v>0</v>
      </c>
      <c r="J17" s="16">
        <v>0</v>
      </c>
      <c r="K17" s="20">
        <v>0</v>
      </c>
      <c r="L17" s="21"/>
      <c r="M17" s="21"/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22">
        <v>17600</v>
      </c>
      <c r="T17" s="19">
        <f t="shared" si="2"/>
        <v>0</v>
      </c>
      <c r="U17" s="19">
        <f t="shared" si="3"/>
        <v>17600</v>
      </c>
      <c r="V17" s="22">
        <v>17600</v>
      </c>
      <c r="W17" s="31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2000</v>
      </c>
      <c r="AG17" s="22">
        <v>0</v>
      </c>
      <c r="AH17" s="22">
        <v>0</v>
      </c>
      <c r="AI17" s="22">
        <v>0</v>
      </c>
      <c r="AJ17" s="22">
        <v>0</v>
      </c>
      <c r="AK17" s="22">
        <v>0</v>
      </c>
      <c r="AL17" s="22">
        <v>0</v>
      </c>
      <c r="AM17" s="22">
        <v>0</v>
      </c>
      <c r="AN17" s="22">
        <v>0</v>
      </c>
      <c r="AO17" s="22">
        <v>0</v>
      </c>
      <c r="AP17" s="22">
        <v>0</v>
      </c>
      <c r="AQ17" s="22">
        <v>0</v>
      </c>
      <c r="AR17" s="22">
        <v>0</v>
      </c>
      <c r="AS17" s="22">
        <v>0</v>
      </c>
      <c r="AT17" s="22">
        <v>0</v>
      </c>
      <c r="AU17" s="19">
        <f t="shared" si="4"/>
        <v>2000</v>
      </c>
      <c r="AV17" s="22">
        <v>15600</v>
      </c>
      <c r="AW17" s="24" t="s">
        <v>54</v>
      </c>
      <c r="AX17" s="25">
        <v>45789</v>
      </c>
      <c r="AY17" s="15"/>
      <c r="AZ17" s="26"/>
      <c r="BA17" s="27">
        <f t="shared" si="5"/>
        <v>0</v>
      </c>
      <c r="BB17" s="14"/>
      <c r="BC17" s="28"/>
    </row>
    <row r="18" spans="1:55" ht="28.8" x14ac:dyDescent="0.4">
      <c r="A18" s="15">
        <v>17</v>
      </c>
      <c r="B18" s="16">
        <v>1020</v>
      </c>
      <c r="C18" s="63" t="s">
        <v>96</v>
      </c>
      <c r="D18" s="16" t="s">
        <v>81</v>
      </c>
      <c r="E18" s="16" t="s">
        <v>86</v>
      </c>
      <c r="F18" s="16">
        <v>30</v>
      </c>
      <c r="G18" s="16">
        <v>30</v>
      </c>
      <c r="H18" s="18">
        <f t="shared" si="0"/>
        <v>0</v>
      </c>
      <c r="I18" s="19">
        <f t="shared" si="1"/>
        <v>0</v>
      </c>
      <c r="J18" s="16">
        <v>1</v>
      </c>
      <c r="K18" s="20">
        <v>0</v>
      </c>
      <c r="L18" s="21"/>
      <c r="M18" s="21"/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22">
        <v>47300</v>
      </c>
      <c r="T18" s="19">
        <f t="shared" si="2"/>
        <v>0</v>
      </c>
      <c r="U18" s="19">
        <f t="shared" si="3"/>
        <v>47300</v>
      </c>
      <c r="V18" s="22">
        <v>45723</v>
      </c>
      <c r="W18" s="31">
        <v>1577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20000</v>
      </c>
      <c r="AG18" s="22">
        <v>0</v>
      </c>
      <c r="AH18" s="22">
        <v>0</v>
      </c>
      <c r="AI18" s="22">
        <v>0</v>
      </c>
      <c r="AJ18" s="22">
        <v>0</v>
      </c>
      <c r="AK18" s="22">
        <v>0</v>
      </c>
      <c r="AL18" s="22">
        <v>0</v>
      </c>
      <c r="AM18" s="22">
        <v>0</v>
      </c>
      <c r="AN18" s="22">
        <v>0</v>
      </c>
      <c r="AO18" s="22">
        <v>0</v>
      </c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19">
        <f t="shared" si="4"/>
        <v>20000</v>
      </c>
      <c r="AV18" s="22">
        <v>27300</v>
      </c>
      <c r="AW18" s="24" t="s">
        <v>54</v>
      </c>
      <c r="AX18" s="25">
        <v>45789</v>
      </c>
      <c r="AY18" s="15"/>
      <c r="AZ18" s="26"/>
      <c r="BA18" s="27">
        <f t="shared" si="5"/>
        <v>0</v>
      </c>
      <c r="BB18" s="14"/>
      <c r="BC18" s="28"/>
    </row>
    <row r="19" spans="1:55" ht="28.8" x14ac:dyDescent="0.4">
      <c r="A19" s="15">
        <v>18</v>
      </c>
      <c r="B19" s="16">
        <v>1030</v>
      </c>
      <c r="C19" s="63" t="s">
        <v>96</v>
      </c>
      <c r="D19" s="16" t="s">
        <v>87</v>
      </c>
      <c r="E19" s="16" t="s">
        <v>88</v>
      </c>
      <c r="F19" s="16">
        <v>30</v>
      </c>
      <c r="G19" s="16">
        <v>27</v>
      </c>
      <c r="H19" s="18">
        <f t="shared" si="0"/>
        <v>3</v>
      </c>
      <c r="I19" s="19">
        <f t="shared" si="1"/>
        <v>2750</v>
      </c>
      <c r="J19" s="16">
        <v>4</v>
      </c>
      <c r="K19" s="20">
        <v>2</v>
      </c>
      <c r="L19" s="21"/>
      <c r="M19" s="21"/>
      <c r="N19" s="16">
        <v>0</v>
      </c>
      <c r="O19" s="16">
        <v>0</v>
      </c>
      <c r="P19" s="16">
        <v>2</v>
      </c>
      <c r="Q19" s="16">
        <v>0</v>
      </c>
      <c r="R19" s="16">
        <v>1</v>
      </c>
      <c r="S19" s="22">
        <v>27500</v>
      </c>
      <c r="T19" s="19">
        <f t="shared" si="2"/>
        <v>1833.3333333333333</v>
      </c>
      <c r="U19" s="19">
        <f t="shared" si="3"/>
        <v>22916</v>
      </c>
      <c r="V19" s="22">
        <v>21083</v>
      </c>
      <c r="W19" s="31">
        <v>1833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3000</v>
      </c>
      <c r="AG19" s="22">
        <v>0</v>
      </c>
      <c r="AH19" s="22">
        <v>0</v>
      </c>
      <c r="AI19" s="22">
        <v>0</v>
      </c>
      <c r="AJ19" s="22">
        <v>0</v>
      </c>
      <c r="AK19" s="22">
        <v>0</v>
      </c>
      <c r="AL19" s="22">
        <v>0</v>
      </c>
      <c r="AM19" s="22">
        <v>0</v>
      </c>
      <c r="AN19" s="22">
        <v>0</v>
      </c>
      <c r="AO19" s="22">
        <v>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19">
        <f t="shared" si="4"/>
        <v>3000</v>
      </c>
      <c r="AV19" s="22">
        <v>19916.669999999998</v>
      </c>
      <c r="AW19" s="24" t="s">
        <v>54</v>
      </c>
      <c r="AX19" s="25">
        <v>45789</v>
      </c>
      <c r="AY19" s="15"/>
      <c r="AZ19" s="26"/>
      <c r="BA19" s="27">
        <f t="shared" si="5"/>
        <v>-3.3333333303744439E-3</v>
      </c>
      <c r="BB19" s="14"/>
      <c r="BC19" s="28"/>
    </row>
    <row r="20" spans="1:55" ht="28.8" x14ac:dyDescent="0.4">
      <c r="A20" s="15">
        <v>19</v>
      </c>
      <c r="B20" s="16">
        <v>1031</v>
      </c>
      <c r="C20" s="63" t="s">
        <v>96</v>
      </c>
      <c r="D20" s="16" t="s">
        <v>89</v>
      </c>
      <c r="E20" s="16" t="s">
        <v>90</v>
      </c>
      <c r="F20" s="16">
        <v>30</v>
      </c>
      <c r="G20" s="16">
        <v>28</v>
      </c>
      <c r="H20" s="18">
        <f t="shared" si="0"/>
        <v>2</v>
      </c>
      <c r="I20" s="19">
        <f t="shared" si="1"/>
        <v>2000</v>
      </c>
      <c r="J20" s="16">
        <v>6</v>
      </c>
      <c r="K20" s="20">
        <v>3</v>
      </c>
      <c r="L20" s="21"/>
      <c r="M20" s="21"/>
      <c r="N20" s="16">
        <v>0</v>
      </c>
      <c r="O20" s="16">
        <v>0</v>
      </c>
      <c r="P20" s="16">
        <v>1</v>
      </c>
      <c r="Q20" s="16">
        <v>0</v>
      </c>
      <c r="R20" s="16">
        <v>1</v>
      </c>
      <c r="S20" s="22">
        <v>30000</v>
      </c>
      <c r="T20" s="19">
        <f t="shared" si="2"/>
        <v>3000</v>
      </c>
      <c r="U20" s="19">
        <f t="shared" si="3"/>
        <v>25000</v>
      </c>
      <c r="V20" s="22">
        <v>22000</v>
      </c>
      <c r="W20" s="31">
        <v>3000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13010</v>
      </c>
      <c r="AD20" s="22">
        <v>0</v>
      </c>
      <c r="AE20" s="22">
        <v>0</v>
      </c>
      <c r="AF20" s="22">
        <v>5000</v>
      </c>
      <c r="AG20" s="22">
        <v>0</v>
      </c>
      <c r="AH20" s="22">
        <v>0</v>
      </c>
      <c r="AI20" s="22">
        <v>0</v>
      </c>
      <c r="AJ20" s="22">
        <v>0</v>
      </c>
      <c r="AK20" s="22">
        <v>0</v>
      </c>
      <c r="AL20" s="22">
        <v>0</v>
      </c>
      <c r="AM20" s="22">
        <v>0</v>
      </c>
      <c r="AN20" s="22">
        <v>0</v>
      </c>
      <c r="AO20" s="22">
        <v>0</v>
      </c>
      <c r="AP20" s="22">
        <v>0</v>
      </c>
      <c r="AQ20" s="22">
        <v>0</v>
      </c>
      <c r="AR20" s="22">
        <v>0</v>
      </c>
      <c r="AS20" s="22">
        <v>0</v>
      </c>
      <c r="AT20" s="22">
        <v>0</v>
      </c>
      <c r="AU20" s="19">
        <f t="shared" si="4"/>
        <v>18010</v>
      </c>
      <c r="AV20" s="22">
        <v>6990</v>
      </c>
      <c r="AW20" s="24" t="s">
        <v>54</v>
      </c>
      <c r="AX20" s="25">
        <v>45789</v>
      </c>
      <c r="AY20" s="15"/>
      <c r="AZ20" s="26"/>
      <c r="BA20" s="27">
        <f t="shared" si="5"/>
        <v>0</v>
      </c>
      <c r="BB20" s="14"/>
      <c r="BC20" s="28"/>
    </row>
    <row r="21" spans="1:55" ht="21" x14ac:dyDescent="0.4">
      <c r="A21" s="15">
        <v>20</v>
      </c>
      <c r="B21" s="16">
        <v>80415</v>
      </c>
      <c r="C21" s="63" t="s">
        <v>96</v>
      </c>
      <c r="D21" s="16" t="s">
        <v>89</v>
      </c>
      <c r="E21" s="16" t="s">
        <v>91</v>
      </c>
      <c r="F21" s="16">
        <v>30</v>
      </c>
      <c r="G21" s="16">
        <v>30</v>
      </c>
      <c r="H21" s="18">
        <f t="shared" si="0"/>
        <v>0</v>
      </c>
      <c r="I21" s="19">
        <f t="shared" si="1"/>
        <v>0</v>
      </c>
      <c r="J21" s="16">
        <v>2</v>
      </c>
      <c r="K21" s="33">
        <v>1</v>
      </c>
      <c r="L21" s="21"/>
      <c r="M21" s="21"/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22">
        <v>32000</v>
      </c>
      <c r="T21" s="19">
        <f t="shared" si="2"/>
        <v>1066.6666666666667</v>
      </c>
      <c r="U21" s="19">
        <f t="shared" si="3"/>
        <v>32001</v>
      </c>
      <c r="V21" s="22">
        <v>29867</v>
      </c>
      <c r="W21" s="31">
        <f>1067+1067</f>
        <v>2134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5000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19">
        <f t="shared" si="4"/>
        <v>5000</v>
      </c>
      <c r="AV21" s="22">
        <f>25933.33+1067</f>
        <v>27000.33</v>
      </c>
      <c r="AW21" s="29" t="s">
        <v>54</v>
      </c>
      <c r="AX21" s="25">
        <v>45789</v>
      </c>
      <c r="AY21" s="15"/>
      <c r="AZ21" s="26"/>
      <c r="BA21" s="27">
        <f t="shared" si="5"/>
        <v>-1066.996666666666</v>
      </c>
      <c r="BB21" s="14"/>
      <c r="BC21" s="28"/>
    </row>
    <row r="22" spans="1:55" ht="42.6" x14ac:dyDescent="0.4">
      <c r="A22" s="15">
        <v>21</v>
      </c>
      <c r="B22" s="16">
        <v>80601</v>
      </c>
      <c r="C22" s="16" t="s">
        <v>83</v>
      </c>
      <c r="D22" s="16" t="s">
        <v>83</v>
      </c>
      <c r="E22" s="16" t="s">
        <v>92</v>
      </c>
      <c r="F22" s="16">
        <v>30</v>
      </c>
      <c r="G22" s="16">
        <v>29</v>
      </c>
      <c r="H22" s="18">
        <f t="shared" si="0"/>
        <v>1</v>
      </c>
      <c r="I22" s="19">
        <f t="shared" si="1"/>
        <v>533.33333333333337</v>
      </c>
      <c r="J22" s="16">
        <v>0</v>
      </c>
      <c r="K22" s="20">
        <v>0</v>
      </c>
      <c r="L22" s="21"/>
      <c r="M22" s="21"/>
      <c r="N22" s="16">
        <v>0</v>
      </c>
      <c r="O22" s="16">
        <v>0</v>
      </c>
      <c r="P22" s="16">
        <v>1</v>
      </c>
      <c r="Q22" s="16">
        <v>0</v>
      </c>
      <c r="R22" s="16">
        <v>0</v>
      </c>
      <c r="S22" s="22">
        <v>16000</v>
      </c>
      <c r="T22" s="19">
        <f t="shared" si="2"/>
        <v>0</v>
      </c>
      <c r="U22" s="19">
        <f t="shared" si="3"/>
        <v>15467</v>
      </c>
      <c r="V22" s="22">
        <v>15467</v>
      </c>
      <c r="W22" s="31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  <c r="AH22" s="22">
        <v>0</v>
      </c>
      <c r="AI22" s="22">
        <v>0</v>
      </c>
      <c r="AJ22" s="22">
        <v>0</v>
      </c>
      <c r="AK22" s="22">
        <v>0</v>
      </c>
      <c r="AL22" s="22">
        <v>0</v>
      </c>
      <c r="AM22" s="22">
        <v>0</v>
      </c>
      <c r="AN22" s="22">
        <v>0</v>
      </c>
      <c r="AO22" s="22">
        <v>0</v>
      </c>
      <c r="AP22" s="22">
        <v>0</v>
      </c>
      <c r="AQ22" s="22">
        <v>0</v>
      </c>
      <c r="AR22" s="22">
        <v>0</v>
      </c>
      <c r="AS22" s="22">
        <v>0</v>
      </c>
      <c r="AT22" s="22">
        <v>0</v>
      </c>
      <c r="AU22" s="19">
        <f t="shared" si="4"/>
        <v>0</v>
      </c>
      <c r="AV22" s="22">
        <v>15466.67</v>
      </c>
      <c r="AW22" s="24" t="s">
        <v>54</v>
      </c>
      <c r="AX22" s="25">
        <v>45789</v>
      </c>
      <c r="AY22" s="15"/>
      <c r="AZ22" s="26"/>
      <c r="BA22" s="27">
        <f t="shared" si="5"/>
        <v>-3.3333333321934333E-3</v>
      </c>
      <c r="BB22" s="14"/>
      <c r="BC22" s="28"/>
    </row>
    <row r="23" spans="1:55" ht="42.6" x14ac:dyDescent="0.4">
      <c r="A23" s="15">
        <v>22</v>
      </c>
      <c r="B23" s="16">
        <v>80610</v>
      </c>
      <c r="C23" s="63" t="s">
        <v>96</v>
      </c>
      <c r="D23" s="16" t="s">
        <v>93</v>
      </c>
      <c r="E23" s="16" t="s">
        <v>94</v>
      </c>
      <c r="F23" s="16">
        <v>30</v>
      </c>
      <c r="G23" s="16">
        <v>28</v>
      </c>
      <c r="H23" s="18">
        <f t="shared" si="0"/>
        <v>2</v>
      </c>
      <c r="I23" s="19">
        <f t="shared" si="1"/>
        <v>2133.3333333333335</v>
      </c>
      <c r="J23" s="16">
        <v>4</v>
      </c>
      <c r="K23" s="20">
        <v>2</v>
      </c>
      <c r="L23" s="21"/>
      <c r="M23" s="21"/>
      <c r="N23" s="16">
        <v>0</v>
      </c>
      <c r="O23" s="16">
        <v>0</v>
      </c>
      <c r="P23" s="16">
        <v>0</v>
      </c>
      <c r="Q23" s="16">
        <v>0</v>
      </c>
      <c r="R23" s="16">
        <v>2</v>
      </c>
      <c r="S23" s="22">
        <v>32000</v>
      </c>
      <c r="T23" s="19">
        <f t="shared" si="2"/>
        <v>2133.3333333333335</v>
      </c>
      <c r="U23" s="19">
        <f t="shared" si="3"/>
        <v>27733</v>
      </c>
      <c r="V23" s="22">
        <v>25600</v>
      </c>
      <c r="W23" s="31">
        <v>2133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  <c r="AL23" s="22">
        <v>0</v>
      </c>
      <c r="AM23" s="22">
        <v>0</v>
      </c>
      <c r="AN23" s="22">
        <v>0</v>
      </c>
      <c r="AO23" s="22">
        <v>0</v>
      </c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19">
        <f t="shared" si="4"/>
        <v>0</v>
      </c>
      <c r="AV23" s="22">
        <v>27733.33</v>
      </c>
      <c r="AW23" s="24" t="s">
        <v>54</v>
      </c>
      <c r="AX23" s="25">
        <v>45793</v>
      </c>
      <c r="AY23" s="15"/>
      <c r="AZ23" s="26"/>
      <c r="BA23" s="27">
        <f t="shared" si="5"/>
        <v>3.3333333340124227E-3</v>
      </c>
      <c r="BB23" s="14"/>
      <c r="BC23" s="28"/>
    </row>
    <row r="24" spans="1:55" ht="42.6" x14ac:dyDescent="0.4">
      <c r="A24" s="15">
        <v>23</v>
      </c>
      <c r="B24" s="16">
        <v>80632</v>
      </c>
      <c r="C24" s="16" t="s">
        <v>83</v>
      </c>
      <c r="D24" s="16" t="s">
        <v>83</v>
      </c>
      <c r="E24" s="16" t="s">
        <v>95</v>
      </c>
      <c r="F24" s="16">
        <v>30</v>
      </c>
      <c r="G24" s="16">
        <v>7</v>
      </c>
      <c r="H24" s="18">
        <f t="shared" si="0"/>
        <v>23</v>
      </c>
      <c r="I24" s="19">
        <f t="shared" si="1"/>
        <v>12266.666666666668</v>
      </c>
      <c r="J24" s="16">
        <v>0</v>
      </c>
      <c r="K24" s="20">
        <v>0</v>
      </c>
      <c r="L24" s="21"/>
      <c r="M24" s="21"/>
      <c r="N24" s="16">
        <v>0</v>
      </c>
      <c r="O24" s="16">
        <v>0</v>
      </c>
      <c r="P24" s="16">
        <v>0</v>
      </c>
      <c r="Q24" s="16">
        <v>0</v>
      </c>
      <c r="R24" s="16">
        <v>23</v>
      </c>
      <c r="S24" s="22">
        <v>16000</v>
      </c>
      <c r="T24" s="19">
        <f t="shared" si="2"/>
        <v>0</v>
      </c>
      <c r="U24" s="19">
        <f t="shared" si="3"/>
        <v>3733</v>
      </c>
      <c r="V24" s="22">
        <v>3733</v>
      </c>
      <c r="W24" s="31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  <c r="AH24" s="22">
        <v>0</v>
      </c>
      <c r="AI24" s="22">
        <v>0</v>
      </c>
      <c r="AJ24" s="22">
        <v>0</v>
      </c>
      <c r="AK24" s="22">
        <v>0</v>
      </c>
      <c r="AL24" s="22">
        <v>0</v>
      </c>
      <c r="AM24" s="22">
        <v>0</v>
      </c>
      <c r="AN24" s="22">
        <v>0</v>
      </c>
      <c r="AO24" s="22">
        <v>0</v>
      </c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19">
        <f t="shared" si="4"/>
        <v>0</v>
      </c>
      <c r="AV24" s="22">
        <v>3733.33</v>
      </c>
      <c r="AW24" s="24"/>
      <c r="AX24" s="34"/>
      <c r="AY24" s="15"/>
      <c r="AZ24" s="26"/>
      <c r="BA24" s="27">
        <f t="shared" si="5"/>
        <v>3.3333333335576754E-3</v>
      </c>
      <c r="BB24" s="14"/>
      <c r="BC24" s="28"/>
    </row>
    <row r="25" spans="1:55" ht="21" x14ac:dyDescent="0.4">
      <c r="A25" s="15">
        <v>24</v>
      </c>
      <c r="B25" s="16">
        <v>80797</v>
      </c>
      <c r="C25" s="63" t="s">
        <v>96</v>
      </c>
      <c r="D25" s="16" t="s">
        <v>96</v>
      </c>
      <c r="E25" s="16" t="s">
        <v>97</v>
      </c>
      <c r="F25" s="16">
        <v>30</v>
      </c>
      <c r="G25" s="16">
        <v>15</v>
      </c>
      <c r="H25" s="18">
        <f t="shared" si="0"/>
        <v>15</v>
      </c>
      <c r="I25" s="19">
        <f t="shared" si="1"/>
        <v>12500</v>
      </c>
      <c r="J25" s="16">
        <v>0</v>
      </c>
      <c r="K25" s="20">
        <v>0</v>
      </c>
      <c r="L25" s="21"/>
      <c r="M25" s="21"/>
      <c r="N25" s="16">
        <v>0</v>
      </c>
      <c r="O25" s="16">
        <v>0</v>
      </c>
      <c r="P25" s="16">
        <v>0</v>
      </c>
      <c r="Q25" s="16">
        <v>0</v>
      </c>
      <c r="R25" s="16">
        <v>15</v>
      </c>
      <c r="S25" s="22">
        <v>25000</v>
      </c>
      <c r="T25" s="19">
        <f t="shared" si="2"/>
        <v>0</v>
      </c>
      <c r="U25" s="19">
        <f t="shared" si="3"/>
        <v>12500</v>
      </c>
      <c r="V25" s="22">
        <v>12500</v>
      </c>
      <c r="W25" s="31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  <c r="AH25" s="22">
        <v>0</v>
      </c>
      <c r="AI25" s="22">
        <v>0</v>
      </c>
      <c r="AJ25" s="22">
        <v>0</v>
      </c>
      <c r="AK25" s="22">
        <v>0</v>
      </c>
      <c r="AL25" s="22">
        <v>0</v>
      </c>
      <c r="AM25" s="22">
        <v>0</v>
      </c>
      <c r="AN25" s="22">
        <v>0</v>
      </c>
      <c r="AO25" s="22">
        <v>0</v>
      </c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19">
        <f t="shared" si="4"/>
        <v>0</v>
      </c>
      <c r="AV25" s="22">
        <v>12500</v>
      </c>
      <c r="AW25" s="24" t="s">
        <v>54</v>
      </c>
      <c r="AX25" s="25">
        <v>45789</v>
      </c>
      <c r="AY25" s="15"/>
      <c r="AZ25" s="26"/>
      <c r="BA25" s="27">
        <f t="shared" si="5"/>
        <v>0</v>
      </c>
      <c r="BB25" s="14"/>
      <c r="BC25" s="28"/>
    </row>
    <row r="26" spans="1:55" ht="28.8" x14ac:dyDescent="0.4">
      <c r="A26" s="15">
        <v>25</v>
      </c>
      <c r="B26" s="16">
        <v>27085</v>
      </c>
      <c r="C26" s="17" t="s">
        <v>98</v>
      </c>
      <c r="D26" s="16" t="s">
        <v>99</v>
      </c>
      <c r="E26" s="16" t="s">
        <v>100</v>
      </c>
      <c r="F26" s="16">
        <v>30</v>
      </c>
      <c r="G26" s="16">
        <v>30</v>
      </c>
      <c r="H26" s="18">
        <f t="shared" si="0"/>
        <v>0</v>
      </c>
      <c r="I26" s="19">
        <f t="shared" si="1"/>
        <v>0</v>
      </c>
      <c r="J26" s="16">
        <v>3</v>
      </c>
      <c r="K26" s="33">
        <v>1</v>
      </c>
      <c r="L26" s="21"/>
      <c r="M26" s="21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22">
        <v>30000</v>
      </c>
      <c r="T26" s="19">
        <f t="shared" si="2"/>
        <v>1000</v>
      </c>
      <c r="U26" s="19">
        <f t="shared" si="3"/>
        <v>30000</v>
      </c>
      <c r="V26" s="22">
        <v>27000</v>
      </c>
      <c r="W26" s="31">
        <f>2000+1000</f>
        <v>3000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  <c r="AH26" s="22">
        <v>0</v>
      </c>
      <c r="AI26" s="22">
        <v>0</v>
      </c>
      <c r="AJ26" s="22">
        <v>0</v>
      </c>
      <c r="AK26" s="22">
        <v>0</v>
      </c>
      <c r="AL26" s="22">
        <v>0</v>
      </c>
      <c r="AM26" s="22">
        <v>0</v>
      </c>
      <c r="AN26" s="22">
        <v>0</v>
      </c>
      <c r="AO26" s="22">
        <v>0</v>
      </c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19">
        <f t="shared" si="4"/>
        <v>0</v>
      </c>
      <c r="AV26" s="22">
        <f>29000+1000</f>
        <v>30000</v>
      </c>
      <c r="AW26" s="29" t="s">
        <v>54</v>
      </c>
      <c r="AX26" s="25">
        <v>45790</v>
      </c>
      <c r="AY26" s="15"/>
      <c r="AZ26" s="26"/>
      <c r="BA26" s="27">
        <f t="shared" si="5"/>
        <v>-1000</v>
      </c>
      <c r="BB26" s="14"/>
      <c r="BC26" s="28"/>
    </row>
    <row r="27" spans="1:55" ht="28.8" x14ac:dyDescent="0.4">
      <c r="A27" s="15">
        <v>26</v>
      </c>
      <c r="B27" s="16">
        <v>3045</v>
      </c>
      <c r="C27" s="17" t="s">
        <v>98</v>
      </c>
      <c r="D27" s="16" t="s">
        <v>99</v>
      </c>
      <c r="E27" s="16" t="s">
        <v>101</v>
      </c>
      <c r="F27" s="16">
        <v>30</v>
      </c>
      <c r="G27" s="16">
        <v>30</v>
      </c>
      <c r="H27" s="18">
        <f t="shared" si="0"/>
        <v>0</v>
      </c>
      <c r="I27" s="19">
        <f t="shared" si="1"/>
        <v>0</v>
      </c>
      <c r="J27" s="16">
        <v>0</v>
      </c>
      <c r="K27" s="20">
        <v>0</v>
      </c>
      <c r="L27" s="21"/>
      <c r="M27" s="21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22">
        <v>40000</v>
      </c>
      <c r="T27" s="19">
        <f t="shared" si="2"/>
        <v>0</v>
      </c>
      <c r="U27" s="19">
        <f t="shared" si="3"/>
        <v>40000</v>
      </c>
      <c r="V27" s="22">
        <v>40000</v>
      </c>
      <c r="W27" s="31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2">
        <v>0</v>
      </c>
      <c r="AI27" s="22">
        <v>0</v>
      </c>
      <c r="AJ27" s="22">
        <v>0</v>
      </c>
      <c r="AK27" s="22">
        <v>0</v>
      </c>
      <c r="AL27" s="22">
        <v>0</v>
      </c>
      <c r="AM27" s="22">
        <v>0</v>
      </c>
      <c r="AN27" s="22">
        <v>0</v>
      </c>
      <c r="AO27" s="22">
        <v>0</v>
      </c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19">
        <f t="shared" si="4"/>
        <v>0</v>
      </c>
      <c r="AV27" s="22">
        <v>40000</v>
      </c>
      <c r="AW27" s="24" t="s">
        <v>54</v>
      </c>
      <c r="AX27" s="25">
        <v>45790</v>
      </c>
      <c r="AY27" s="15"/>
      <c r="AZ27" s="26"/>
      <c r="BA27" s="27">
        <f t="shared" si="5"/>
        <v>0</v>
      </c>
      <c r="BB27" s="14"/>
      <c r="BC27" s="28"/>
    </row>
    <row r="28" spans="1:55" ht="42.6" x14ac:dyDescent="0.4">
      <c r="A28" s="15">
        <v>27</v>
      </c>
      <c r="B28" s="16">
        <v>3048</v>
      </c>
      <c r="C28" s="17" t="s">
        <v>98</v>
      </c>
      <c r="D28" s="16" t="s">
        <v>99</v>
      </c>
      <c r="E28" s="16" t="s">
        <v>102</v>
      </c>
      <c r="F28" s="16">
        <v>30</v>
      </c>
      <c r="G28" s="16">
        <v>27</v>
      </c>
      <c r="H28" s="18">
        <f t="shared" si="0"/>
        <v>3</v>
      </c>
      <c r="I28" s="19">
        <f t="shared" si="1"/>
        <v>4500</v>
      </c>
      <c r="J28" s="16">
        <v>2</v>
      </c>
      <c r="K28" s="33">
        <v>1</v>
      </c>
      <c r="L28" s="21"/>
      <c r="M28" s="21"/>
      <c r="N28" s="16">
        <v>0</v>
      </c>
      <c r="O28" s="16">
        <v>0</v>
      </c>
      <c r="P28" s="16">
        <v>0</v>
      </c>
      <c r="Q28" s="16">
        <v>0</v>
      </c>
      <c r="R28" s="16">
        <v>3</v>
      </c>
      <c r="S28" s="22">
        <v>45000</v>
      </c>
      <c r="T28" s="19">
        <f t="shared" si="2"/>
        <v>1500</v>
      </c>
      <c r="U28" s="19">
        <f t="shared" si="3"/>
        <v>40500</v>
      </c>
      <c r="V28" s="22">
        <v>37500</v>
      </c>
      <c r="W28" s="31">
        <f>1500+1500</f>
        <v>3000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2">
        <v>0</v>
      </c>
      <c r="AI28" s="22">
        <v>0</v>
      </c>
      <c r="AJ28" s="22">
        <v>0</v>
      </c>
      <c r="AK28" s="22">
        <v>0</v>
      </c>
      <c r="AL28" s="22">
        <v>0</v>
      </c>
      <c r="AM28" s="22">
        <v>0</v>
      </c>
      <c r="AN28" s="22">
        <v>0</v>
      </c>
      <c r="AO28" s="22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19">
        <f t="shared" si="4"/>
        <v>0</v>
      </c>
      <c r="AV28" s="22">
        <f>39000+1500</f>
        <v>40500</v>
      </c>
      <c r="AW28" s="29" t="s">
        <v>54</v>
      </c>
      <c r="AX28" s="25">
        <v>45789</v>
      </c>
      <c r="AY28" s="15"/>
      <c r="AZ28" s="26"/>
      <c r="BA28" s="27">
        <f t="shared" si="5"/>
        <v>-1500</v>
      </c>
      <c r="BB28" s="14"/>
      <c r="BC28" s="28"/>
    </row>
    <row r="29" spans="1:55" ht="28.8" x14ac:dyDescent="0.4">
      <c r="A29" s="15">
        <v>28</v>
      </c>
      <c r="B29" s="16">
        <v>18003</v>
      </c>
      <c r="C29" s="17" t="s">
        <v>103</v>
      </c>
      <c r="D29" s="16" t="s">
        <v>104</v>
      </c>
      <c r="E29" s="16" t="s">
        <v>105</v>
      </c>
      <c r="F29" s="16">
        <v>30</v>
      </c>
      <c r="G29" s="16">
        <v>30</v>
      </c>
      <c r="H29" s="18">
        <f t="shared" si="0"/>
        <v>0</v>
      </c>
      <c r="I29" s="19">
        <f t="shared" si="1"/>
        <v>0</v>
      </c>
      <c r="J29" s="16">
        <v>0</v>
      </c>
      <c r="K29" s="20">
        <v>0</v>
      </c>
      <c r="L29" s="21"/>
      <c r="M29" s="21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22">
        <v>26400</v>
      </c>
      <c r="T29" s="19">
        <f t="shared" si="2"/>
        <v>0</v>
      </c>
      <c r="U29" s="19">
        <f t="shared" si="3"/>
        <v>26400</v>
      </c>
      <c r="V29" s="22">
        <v>26400</v>
      </c>
      <c r="W29" s="31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  <c r="AH29" s="22">
        <v>0</v>
      </c>
      <c r="AI29" s="22">
        <v>0</v>
      </c>
      <c r="AJ29" s="22">
        <v>0</v>
      </c>
      <c r="AK29" s="22">
        <v>0</v>
      </c>
      <c r="AL29" s="22">
        <v>0</v>
      </c>
      <c r="AM29" s="22">
        <v>0</v>
      </c>
      <c r="AN29" s="22">
        <v>0</v>
      </c>
      <c r="AO29" s="22">
        <v>0</v>
      </c>
      <c r="AP29" s="22">
        <v>0</v>
      </c>
      <c r="AQ29" s="22">
        <v>0</v>
      </c>
      <c r="AR29" s="22">
        <v>0</v>
      </c>
      <c r="AS29" s="22">
        <v>0</v>
      </c>
      <c r="AT29" s="22">
        <v>0</v>
      </c>
      <c r="AU29" s="19">
        <f t="shared" si="4"/>
        <v>0</v>
      </c>
      <c r="AV29" s="22">
        <v>26400</v>
      </c>
      <c r="AW29" s="24" t="s">
        <v>54</v>
      </c>
      <c r="AX29" s="25">
        <v>45789</v>
      </c>
      <c r="AY29" s="15"/>
      <c r="AZ29" s="26"/>
      <c r="BA29" s="27">
        <f t="shared" si="5"/>
        <v>0</v>
      </c>
      <c r="BB29" s="14"/>
      <c r="BC29" s="28"/>
    </row>
    <row r="30" spans="1:55" ht="28.8" x14ac:dyDescent="0.4">
      <c r="A30" s="15">
        <v>29</v>
      </c>
      <c r="B30" s="16">
        <v>2026</v>
      </c>
      <c r="C30" s="17" t="s">
        <v>103</v>
      </c>
      <c r="D30" s="16" t="s">
        <v>104</v>
      </c>
      <c r="E30" s="16" t="s">
        <v>106</v>
      </c>
      <c r="F30" s="16">
        <v>30</v>
      </c>
      <c r="G30" s="16">
        <v>29</v>
      </c>
      <c r="H30" s="18">
        <f t="shared" si="0"/>
        <v>1</v>
      </c>
      <c r="I30" s="19">
        <f t="shared" si="1"/>
        <v>916.66666666666663</v>
      </c>
      <c r="J30" s="16">
        <v>0</v>
      </c>
      <c r="K30" s="20">
        <v>0</v>
      </c>
      <c r="L30" s="21"/>
      <c r="M30" s="21"/>
      <c r="N30" s="16">
        <v>0</v>
      </c>
      <c r="O30" s="16">
        <v>0</v>
      </c>
      <c r="P30" s="16">
        <v>1</v>
      </c>
      <c r="Q30" s="16">
        <v>0</v>
      </c>
      <c r="R30" s="16">
        <v>0</v>
      </c>
      <c r="S30" s="22">
        <v>27500</v>
      </c>
      <c r="T30" s="19">
        <f t="shared" si="2"/>
        <v>0</v>
      </c>
      <c r="U30" s="19">
        <f t="shared" si="3"/>
        <v>26583</v>
      </c>
      <c r="V30" s="22">
        <v>26583</v>
      </c>
      <c r="W30" s="31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  <c r="AH30" s="22">
        <v>0</v>
      </c>
      <c r="AI30" s="22">
        <v>0</v>
      </c>
      <c r="AJ30" s="22">
        <v>0</v>
      </c>
      <c r="AK30" s="22">
        <v>0</v>
      </c>
      <c r="AL30" s="22">
        <v>0</v>
      </c>
      <c r="AM30" s="22">
        <v>0</v>
      </c>
      <c r="AN30" s="22">
        <v>0</v>
      </c>
      <c r="AO30" s="22">
        <v>0</v>
      </c>
      <c r="AP30" s="22">
        <v>0</v>
      </c>
      <c r="AQ30" s="22">
        <v>0</v>
      </c>
      <c r="AR30" s="22">
        <v>0</v>
      </c>
      <c r="AS30" s="22">
        <v>0</v>
      </c>
      <c r="AT30" s="22">
        <v>0</v>
      </c>
      <c r="AU30" s="19">
        <f t="shared" si="4"/>
        <v>0</v>
      </c>
      <c r="AV30" s="22">
        <v>26583.33</v>
      </c>
      <c r="AW30" s="24" t="s">
        <v>54</v>
      </c>
      <c r="AX30" s="25">
        <v>45789</v>
      </c>
      <c r="AY30" s="15"/>
      <c r="AZ30" s="26"/>
      <c r="BA30" s="27">
        <f t="shared" si="5"/>
        <v>3.3333333303744439E-3</v>
      </c>
      <c r="BB30" s="14"/>
      <c r="BC30" s="28"/>
    </row>
    <row r="31" spans="1:55" ht="28.8" x14ac:dyDescent="0.4">
      <c r="A31" s="15">
        <v>30</v>
      </c>
      <c r="B31" s="16">
        <v>2027</v>
      </c>
      <c r="C31" s="17" t="s">
        <v>103</v>
      </c>
      <c r="D31" s="16" t="s">
        <v>107</v>
      </c>
      <c r="E31" s="16" t="s">
        <v>108</v>
      </c>
      <c r="F31" s="16">
        <v>30</v>
      </c>
      <c r="G31" s="16">
        <v>29</v>
      </c>
      <c r="H31" s="18">
        <f t="shared" si="0"/>
        <v>1</v>
      </c>
      <c r="I31" s="19">
        <f t="shared" si="1"/>
        <v>1466.6666666666667</v>
      </c>
      <c r="J31" s="16">
        <v>0</v>
      </c>
      <c r="K31" s="20">
        <v>0</v>
      </c>
      <c r="L31" s="21"/>
      <c r="M31" s="21"/>
      <c r="N31" s="16">
        <v>0</v>
      </c>
      <c r="O31" s="16">
        <v>0</v>
      </c>
      <c r="P31" s="16">
        <v>0</v>
      </c>
      <c r="Q31" s="16">
        <v>0</v>
      </c>
      <c r="R31" s="16">
        <v>1</v>
      </c>
      <c r="S31" s="32">
        <v>44000</v>
      </c>
      <c r="T31" s="19">
        <f t="shared" si="2"/>
        <v>0</v>
      </c>
      <c r="U31" s="19">
        <f t="shared" si="3"/>
        <v>42533</v>
      </c>
      <c r="V31" s="22">
        <v>42533</v>
      </c>
      <c r="W31" s="31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5000</v>
      </c>
      <c r="AG31" s="22">
        <v>0</v>
      </c>
      <c r="AH31" s="22">
        <v>0</v>
      </c>
      <c r="AI31" s="22">
        <v>0</v>
      </c>
      <c r="AJ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Q31" s="22">
        <v>0</v>
      </c>
      <c r="AR31" s="22">
        <v>0</v>
      </c>
      <c r="AS31" s="22">
        <v>0</v>
      </c>
      <c r="AT31" s="22">
        <v>0</v>
      </c>
      <c r="AU31" s="19">
        <f t="shared" si="4"/>
        <v>5000</v>
      </c>
      <c r="AV31" s="22">
        <v>37533.33</v>
      </c>
      <c r="AW31" s="24" t="s">
        <v>54</v>
      </c>
      <c r="AX31" s="25">
        <v>45789</v>
      </c>
      <c r="AY31" s="15"/>
      <c r="AZ31" s="26"/>
      <c r="BA31" s="27">
        <f t="shared" si="5"/>
        <v>3.3333333340124227E-3</v>
      </c>
      <c r="BB31" s="14"/>
      <c r="BC31" s="28"/>
    </row>
    <row r="32" spans="1:55" ht="28.8" x14ac:dyDescent="0.4">
      <c r="A32" s="15">
        <v>31</v>
      </c>
      <c r="B32" s="16">
        <v>2028</v>
      </c>
      <c r="C32" s="17" t="s">
        <v>103</v>
      </c>
      <c r="D32" s="16" t="s">
        <v>107</v>
      </c>
      <c r="E32" s="16" t="s">
        <v>109</v>
      </c>
      <c r="F32" s="16">
        <v>30</v>
      </c>
      <c r="G32" s="16">
        <v>26</v>
      </c>
      <c r="H32" s="18">
        <f t="shared" si="0"/>
        <v>4</v>
      </c>
      <c r="I32" s="19">
        <f t="shared" si="1"/>
        <v>6600</v>
      </c>
      <c r="J32" s="16">
        <v>0</v>
      </c>
      <c r="K32" s="20">
        <v>0</v>
      </c>
      <c r="L32" s="21"/>
      <c r="M32" s="21"/>
      <c r="N32" s="16">
        <v>1</v>
      </c>
      <c r="O32" s="16">
        <v>0</v>
      </c>
      <c r="P32" s="16">
        <v>3</v>
      </c>
      <c r="Q32" s="16">
        <v>0</v>
      </c>
      <c r="R32" s="16">
        <v>0</v>
      </c>
      <c r="S32" s="22">
        <v>49500</v>
      </c>
      <c r="T32" s="19">
        <f t="shared" si="2"/>
        <v>0</v>
      </c>
      <c r="U32" s="19">
        <f t="shared" si="3"/>
        <v>43725</v>
      </c>
      <c r="V32" s="22">
        <v>42900</v>
      </c>
      <c r="W32" s="31">
        <v>0</v>
      </c>
      <c r="X32" s="22">
        <v>825</v>
      </c>
      <c r="Y32" s="22">
        <v>0</v>
      </c>
      <c r="Z32" s="22">
        <v>0</v>
      </c>
      <c r="AA32" s="22">
        <v>0</v>
      </c>
      <c r="AB32" s="22">
        <v>0</v>
      </c>
      <c r="AC32" s="22">
        <v>1625</v>
      </c>
      <c r="AD32" s="22">
        <v>0</v>
      </c>
      <c r="AE32" s="22">
        <v>0</v>
      </c>
      <c r="AF32" s="22">
        <v>7000</v>
      </c>
      <c r="AG32" s="22">
        <v>0</v>
      </c>
      <c r="AH32" s="22">
        <v>0</v>
      </c>
      <c r="AI32" s="22">
        <v>0</v>
      </c>
      <c r="AJ32" s="22">
        <v>0</v>
      </c>
      <c r="AK32" s="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19">
        <f t="shared" si="4"/>
        <v>8625</v>
      </c>
      <c r="AV32" s="22">
        <v>35100</v>
      </c>
      <c r="AW32" s="24" t="s">
        <v>54</v>
      </c>
      <c r="AX32" s="25">
        <v>45789</v>
      </c>
      <c r="AY32" s="15"/>
      <c r="AZ32" s="26"/>
      <c r="BA32" s="27">
        <f t="shared" si="5"/>
        <v>0</v>
      </c>
      <c r="BB32" s="14"/>
      <c r="BC32" s="28"/>
    </row>
    <row r="33" spans="1:55" ht="28.8" x14ac:dyDescent="0.4">
      <c r="A33" s="15">
        <v>32</v>
      </c>
      <c r="B33" s="16">
        <v>12045</v>
      </c>
      <c r="C33" s="17" t="s">
        <v>103</v>
      </c>
      <c r="D33" s="16" t="s">
        <v>104</v>
      </c>
      <c r="E33" s="16" t="s">
        <v>110</v>
      </c>
      <c r="F33" s="16">
        <v>30</v>
      </c>
      <c r="G33" s="16">
        <v>30</v>
      </c>
      <c r="H33" s="18">
        <f t="shared" si="0"/>
        <v>0</v>
      </c>
      <c r="I33" s="19">
        <f t="shared" si="1"/>
        <v>0</v>
      </c>
      <c r="J33" s="16">
        <v>0</v>
      </c>
      <c r="K33" s="20">
        <v>0</v>
      </c>
      <c r="L33" s="21"/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22">
        <v>32000</v>
      </c>
      <c r="T33" s="19">
        <f t="shared" si="2"/>
        <v>0</v>
      </c>
      <c r="U33" s="19">
        <f t="shared" si="3"/>
        <v>32000</v>
      </c>
      <c r="V33" s="22">
        <v>32000</v>
      </c>
      <c r="W33" s="31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5000</v>
      </c>
      <c r="AG33" s="22">
        <v>0</v>
      </c>
      <c r="AH33" s="22">
        <v>0</v>
      </c>
      <c r="AI33" s="22">
        <v>0</v>
      </c>
      <c r="AJ33" s="22">
        <v>0</v>
      </c>
      <c r="AK33" s="22">
        <v>0</v>
      </c>
      <c r="AL33" s="22">
        <v>0</v>
      </c>
      <c r="AM33" s="22">
        <v>0</v>
      </c>
      <c r="AN33" s="22">
        <v>0</v>
      </c>
      <c r="AO33" s="22">
        <v>0</v>
      </c>
      <c r="AP33" s="22">
        <v>0</v>
      </c>
      <c r="AQ33" s="22">
        <v>0</v>
      </c>
      <c r="AR33" s="22">
        <v>0</v>
      </c>
      <c r="AS33" s="22">
        <v>0</v>
      </c>
      <c r="AT33" s="22">
        <v>0</v>
      </c>
      <c r="AU33" s="19">
        <f t="shared" si="4"/>
        <v>5000</v>
      </c>
      <c r="AV33" s="22">
        <v>27000</v>
      </c>
      <c r="AW33" s="24" t="s">
        <v>54</v>
      </c>
      <c r="AX33" s="25">
        <v>45789</v>
      </c>
      <c r="AY33" s="15"/>
      <c r="AZ33" s="26"/>
      <c r="BA33" s="27">
        <f t="shared" si="5"/>
        <v>3.637978807091713E-12</v>
      </c>
      <c r="BB33" s="14"/>
      <c r="BC33" s="28"/>
    </row>
    <row r="34" spans="1:55" ht="28.8" x14ac:dyDescent="0.4">
      <c r="A34" s="15">
        <v>33</v>
      </c>
      <c r="B34" s="16">
        <v>22131</v>
      </c>
      <c r="C34" s="17" t="s">
        <v>103</v>
      </c>
      <c r="D34" s="16" t="s">
        <v>104</v>
      </c>
      <c r="E34" s="16" t="s">
        <v>111</v>
      </c>
      <c r="F34" s="16">
        <v>30</v>
      </c>
      <c r="G34" s="16">
        <v>30</v>
      </c>
      <c r="H34" s="18">
        <f t="shared" si="0"/>
        <v>0</v>
      </c>
      <c r="I34" s="19">
        <f t="shared" si="1"/>
        <v>0</v>
      </c>
      <c r="J34" s="16">
        <v>0</v>
      </c>
      <c r="K34" s="20">
        <v>0</v>
      </c>
      <c r="L34" s="21"/>
      <c r="M34" s="21"/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22">
        <v>30000</v>
      </c>
      <c r="T34" s="19">
        <f t="shared" si="2"/>
        <v>0</v>
      </c>
      <c r="U34" s="19">
        <f t="shared" si="3"/>
        <v>30000</v>
      </c>
      <c r="V34" s="22">
        <v>30000</v>
      </c>
      <c r="W34" s="31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5000</v>
      </c>
      <c r="AG34" s="22">
        <v>0</v>
      </c>
      <c r="AH34" s="22">
        <v>0</v>
      </c>
      <c r="AI34" s="22">
        <v>0</v>
      </c>
      <c r="AJ34" s="22">
        <v>0</v>
      </c>
      <c r="AK34" s="22">
        <v>0</v>
      </c>
      <c r="AL34" s="22">
        <v>0</v>
      </c>
      <c r="AM34" s="22">
        <v>0</v>
      </c>
      <c r="AN34" s="22">
        <v>0</v>
      </c>
      <c r="AO34" s="22">
        <v>0</v>
      </c>
      <c r="AP34" s="22">
        <v>0</v>
      </c>
      <c r="AQ34" s="22">
        <v>0</v>
      </c>
      <c r="AR34" s="22">
        <v>0</v>
      </c>
      <c r="AS34" s="22">
        <v>0</v>
      </c>
      <c r="AT34" s="22">
        <v>0</v>
      </c>
      <c r="AU34" s="19">
        <f t="shared" si="4"/>
        <v>5000</v>
      </c>
      <c r="AV34" s="22">
        <v>25000</v>
      </c>
      <c r="AW34" s="24" t="s">
        <v>54</v>
      </c>
      <c r="AX34" s="25">
        <v>45789</v>
      </c>
      <c r="AY34" s="15"/>
      <c r="AZ34" s="26"/>
      <c r="BA34" s="27">
        <f t="shared" si="5"/>
        <v>0</v>
      </c>
      <c r="BB34" s="14"/>
      <c r="BC34" s="28"/>
    </row>
    <row r="35" spans="1:55" ht="28.8" x14ac:dyDescent="0.4">
      <c r="A35" s="15">
        <v>34</v>
      </c>
      <c r="B35" s="16">
        <v>2038</v>
      </c>
      <c r="C35" s="17" t="s">
        <v>103</v>
      </c>
      <c r="D35" s="16" t="s">
        <v>104</v>
      </c>
      <c r="E35" s="16" t="s">
        <v>112</v>
      </c>
      <c r="F35" s="16">
        <v>30</v>
      </c>
      <c r="G35" s="16">
        <v>25</v>
      </c>
      <c r="H35" s="18">
        <f t="shared" si="0"/>
        <v>5</v>
      </c>
      <c r="I35" s="19">
        <f t="shared" si="1"/>
        <v>4166.666666666667</v>
      </c>
      <c r="J35" s="16">
        <v>4</v>
      </c>
      <c r="K35" s="20">
        <v>2</v>
      </c>
      <c r="L35" s="21"/>
      <c r="M35" s="21"/>
      <c r="N35" s="16">
        <v>0</v>
      </c>
      <c r="O35" s="16">
        <v>0</v>
      </c>
      <c r="P35" s="16">
        <v>5</v>
      </c>
      <c r="Q35" s="16">
        <v>0</v>
      </c>
      <c r="R35" s="16">
        <v>0</v>
      </c>
      <c r="S35" s="22">
        <v>25000</v>
      </c>
      <c r="T35" s="19">
        <f t="shared" si="2"/>
        <v>1666.6666666666667</v>
      </c>
      <c r="U35" s="19">
        <f t="shared" si="3"/>
        <v>19167</v>
      </c>
      <c r="V35" s="22">
        <v>17500</v>
      </c>
      <c r="W35" s="31">
        <v>1667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1666</v>
      </c>
      <c r="AD35" s="22">
        <v>5000</v>
      </c>
      <c r="AE35" s="22">
        <v>0</v>
      </c>
      <c r="AF35" s="22">
        <v>3000</v>
      </c>
      <c r="AG35" s="32"/>
      <c r="AH35" s="22">
        <v>0</v>
      </c>
      <c r="AI35" s="22">
        <v>0</v>
      </c>
      <c r="AJ35" s="22">
        <v>0</v>
      </c>
      <c r="AK35" s="22">
        <v>0</v>
      </c>
      <c r="AL35" s="22">
        <v>0</v>
      </c>
      <c r="AM35" s="22">
        <v>0</v>
      </c>
      <c r="AN35" s="22">
        <v>0</v>
      </c>
      <c r="AO35" s="22">
        <v>0</v>
      </c>
      <c r="AP35" s="22">
        <v>0</v>
      </c>
      <c r="AQ35" s="22">
        <v>0</v>
      </c>
      <c r="AR35" s="22">
        <v>0</v>
      </c>
      <c r="AS35" s="22">
        <v>0</v>
      </c>
      <c r="AT35" s="22">
        <v>0</v>
      </c>
      <c r="AU35" s="19">
        <f t="shared" si="4"/>
        <v>9666</v>
      </c>
      <c r="AV35" s="22">
        <f>14500.67-5000</f>
        <v>9500.67</v>
      </c>
      <c r="AW35" s="24" t="s">
        <v>54</v>
      </c>
      <c r="AX35" s="25">
        <v>45789</v>
      </c>
      <c r="AY35" s="15"/>
      <c r="AZ35" s="26"/>
      <c r="BA35" s="27">
        <f t="shared" si="5"/>
        <v>-3.3333333321934333E-3</v>
      </c>
      <c r="BB35" s="14"/>
      <c r="BC35" s="28"/>
    </row>
    <row r="36" spans="1:55" ht="42.6" x14ac:dyDescent="0.4">
      <c r="A36" s="15">
        <v>35</v>
      </c>
      <c r="B36" s="16">
        <v>2046</v>
      </c>
      <c r="C36" s="17" t="s">
        <v>103</v>
      </c>
      <c r="D36" s="16" t="s">
        <v>113</v>
      </c>
      <c r="E36" s="16" t="s">
        <v>114</v>
      </c>
      <c r="F36" s="16">
        <v>30</v>
      </c>
      <c r="G36" s="16">
        <v>28</v>
      </c>
      <c r="H36" s="18">
        <f t="shared" si="0"/>
        <v>2</v>
      </c>
      <c r="I36" s="19">
        <f t="shared" si="1"/>
        <v>2333.3333333333335</v>
      </c>
      <c r="J36" s="16">
        <v>0</v>
      </c>
      <c r="K36" s="20">
        <v>0</v>
      </c>
      <c r="L36" s="21"/>
      <c r="M36" s="21"/>
      <c r="N36" s="16">
        <v>0</v>
      </c>
      <c r="O36" s="16">
        <v>0</v>
      </c>
      <c r="P36" s="16">
        <v>0</v>
      </c>
      <c r="Q36" s="16">
        <v>0</v>
      </c>
      <c r="R36" s="16">
        <v>2</v>
      </c>
      <c r="S36" s="22">
        <v>35000</v>
      </c>
      <c r="T36" s="19">
        <f t="shared" si="2"/>
        <v>0</v>
      </c>
      <c r="U36" s="19">
        <f t="shared" si="3"/>
        <v>32667</v>
      </c>
      <c r="V36" s="22">
        <v>32667</v>
      </c>
      <c r="W36" s="31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5000</v>
      </c>
      <c r="AG36" s="22">
        <v>0</v>
      </c>
      <c r="AH36" s="22">
        <v>0</v>
      </c>
      <c r="AI36" s="22">
        <v>0</v>
      </c>
      <c r="AJ36" s="22">
        <v>0</v>
      </c>
      <c r="AK36" s="22">
        <v>0</v>
      </c>
      <c r="AL36" s="22">
        <v>0</v>
      </c>
      <c r="AM36" s="22">
        <v>0</v>
      </c>
      <c r="AN36" s="22">
        <v>0</v>
      </c>
      <c r="AO36" s="22">
        <v>0</v>
      </c>
      <c r="AP36" s="22">
        <v>0</v>
      </c>
      <c r="AQ36" s="22">
        <v>0</v>
      </c>
      <c r="AR36" s="22">
        <v>0</v>
      </c>
      <c r="AS36" s="22">
        <v>0</v>
      </c>
      <c r="AT36" s="22">
        <v>0</v>
      </c>
      <c r="AU36" s="19">
        <f t="shared" si="4"/>
        <v>5000</v>
      </c>
      <c r="AV36" s="22">
        <v>27666.67</v>
      </c>
      <c r="AW36" s="24" t="s">
        <v>54</v>
      </c>
      <c r="AX36" s="25">
        <v>45789</v>
      </c>
      <c r="AY36" s="15"/>
      <c r="AZ36" s="26"/>
      <c r="BA36" s="27">
        <f t="shared" si="5"/>
        <v>-3.3333333303744439E-3</v>
      </c>
      <c r="BB36" s="14"/>
      <c r="BC36" s="28"/>
    </row>
    <row r="37" spans="1:55" ht="42.6" x14ac:dyDescent="0.4">
      <c r="A37" s="15">
        <v>36</v>
      </c>
      <c r="B37" s="16">
        <v>2001</v>
      </c>
      <c r="C37" s="17" t="s">
        <v>103</v>
      </c>
      <c r="D37" s="16" t="s">
        <v>115</v>
      </c>
      <c r="E37" s="16" t="s">
        <v>116</v>
      </c>
      <c r="F37" s="16">
        <v>30</v>
      </c>
      <c r="G37" s="16">
        <v>30</v>
      </c>
      <c r="H37" s="18">
        <f t="shared" si="0"/>
        <v>0</v>
      </c>
      <c r="I37" s="19">
        <f t="shared" si="1"/>
        <v>0</v>
      </c>
      <c r="J37" s="16">
        <v>16</v>
      </c>
      <c r="K37" s="20">
        <v>8</v>
      </c>
      <c r="L37" s="21"/>
      <c r="M37" s="21"/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22">
        <v>100000</v>
      </c>
      <c r="T37" s="19">
        <f t="shared" si="2"/>
        <v>26666.666666666668</v>
      </c>
      <c r="U37" s="19">
        <f t="shared" si="3"/>
        <v>73334</v>
      </c>
      <c r="V37" s="22">
        <v>46667</v>
      </c>
      <c r="W37" s="31">
        <v>26667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20000</v>
      </c>
      <c r="AG37" s="22">
        <v>0</v>
      </c>
      <c r="AH37" s="22">
        <v>0</v>
      </c>
      <c r="AI37" s="22">
        <v>0</v>
      </c>
      <c r="AJ37" s="22">
        <v>0</v>
      </c>
      <c r="AK37" s="22">
        <v>0</v>
      </c>
      <c r="AL37" s="22">
        <v>0</v>
      </c>
      <c r="AM37" s="22">
        <v>0</v>
      </c>
      <c r="AN37" s="22">
        <v>0</v>
      </c>
      <c r="AO37" s="22">
        <v>0</v>
      </c>
      <c r="AP37" s="22">
        <v>0</v>
      </c>
      <c r="AQ37" s="22">
        <v>0</v>
      </c>
      <c r="AR37" s="22">
        <v>0</v>
      </c>
      <c r="AS37" s="22">
        <v>0</v>
      </c>
      <c r="AT37" s="22">
        <v>0</v>
      </c>
      <c r="AU37" s="19">
        <f t="shared" si="4"/>
        <v>20000</v>
      </c>
      <c r="AV37" s="22">
        <v>53333.33</v>
      </c>
      <c r="AW37" s="24" t="s">
        <v>54</v>
      </c>
      <c r="AX37" s="25">
        <v>45789</v>
      </c>
      <c r="AY37" s="15"/>
      <c r="AZ37" s="26"/>
      <c r="BA37" s="27">
        <f t="shared" si="5"/>
        <v>3.3333333267364651E-3</v>
      </c>
      <c r="BB37" s="14"/>
      <c r="BC37" s="28"/>
    </row>
    <row r="38" spans="1:55" ht="21" x14ac:dyDescent="0.4">
      <c r="A38" s="15">
        <v>37</v>
      </c>
      <c r="B38" s="16">
        <v>2054</v>
      </c>
      <c r="C38" s="17" t="s">
        <v>103</v>
      </c>
      <c r="D38" s="16" t="s">
        <v>117</v>
      </c>
      <c r="E38" s="16" t="s">
        <v>118</v>
      </c>
      <c r="F38" s="16">
        <v>30</v>
      </c>
      <c r="G38" s="16">
        <v>28</v>
      </c>
      <c r="H38" s="18">
        <f t="shared" si="0"/>
        <v>2</v>
      </c>
      <c r="I38" s="19">
        <f t="shared" si="1"/>
        <v>3000</v>
      </c>
      <c r="J38" s="16">
        <v>0</v>
      </c>
      <c r="K38" s="20">
        <v>0</v>
      </c>
      <c r="L38" s="21"/>
      <c r="M38" s="21"/>
      <c r="N38" s="16">
        <v>0</v>
      </c>
      <c r="O38" s="16">
        <v>0</v>
      </c>
      <c r="P38" s="16">
        <v>2</v>
      </c>
      <c r="Q38" s="16">
        <v>0</v>
      </c>
      <c r="R38" s="16">
        <v>0</v>
      </c>
      <c r="S38" s="22">
        <v>45000</v>
      </c>
      <c r="T38" s="19">
        <f t="shared" si="2"/>
        <v>0</v>
      </c>
      <c r="U38" s="19">
        <f t="shared" si="3"/>
        <v>42000</v>
      </c>
      <c r="V38" s="22">
        <v>42000</v>
      </c>
      <c r="W38" s="31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8000</v>
      </c>
      <c r="AG38" s="22">
        <v>0</v>
      </c>
      <c r="AH38" s="22">
        <v>0</v>
      </c>
      <c r="AI38" s="22">
        <v>0</v>
      </c>
      <c r="AJ38" s="22">
        <v>0</v>
      </c>
      <c r="AK38" s="22">
        <v>0</v>
      </c>
      <c r="AL38" s="22">
        <v>0</v>
      </c>
      <c r="AM38" s="22">
        <v>0</v>
      </c>
      <c r="AN38" s="22">
        <v>0</v>
      </c>
      <c r="AO38" s="22">
        <v>0</v>
      </c>
      <c r="AP38" s="22">
        <v>0</v>
      </c>
      <c r="AQ38" s="22">
        <v>0</v>
      </c>
      <c r="AR38" s="22">
        <v>0</v>
      </c>
      <c r="AS38" s="22">
        <v>0</v>
      </c>
      <c r="AT38" s="22">
        <v>0</v>
      </c>
      <c r="AU38" s="19">
        <f t="shared" si="4"/>
        <v>8000</v>
      </c>
      <c r="AV38" s="22">
        <v>34000</v>
      </c>
      <c r="AW38" s="24" t="s">
        <v>54</v>
      </c>
      <c r="AX38" s="25">
        <v>45789</v>
      </c>
      <c r="AY38" s="15"/>
      <c r="AZ38" s="26"/>
      <c r="BA38" s="27">
        <f t="shared" si="5"/>
        <v>0</v>
      </c>
      <c r="BB38" s="14"/>
      <c r="BC38" s="28"/>
    </row>
    <row r="39" spans="1:55" ht="28.8" x14ac:dyDescent="0.4">
      <c r="A39" s="15">
        <v>38</v>
      </c>
      <c r="B39" s="16">
        <v>2062</v>
      </c>
      <c r="C39" s="17" t="s">
        <v>103</v>
      </c>
      <c r="D39" s="16" t="s">
        <v>104</v>
      </c>
      <c r="E39" s="16" t="s">
        <v>119</v>
      </c>
      <c r="F39" s="16">
        <v>30</v>
      </c>
      <c r="G39" s="16">
        <v>30</v>
      </c>
      <c r="H39" s="18">
        <f t="shared" si="0"/>
        <v>0</v>
      </c>
      <c r="I39" s="19">
        <f t="shared" si="1"/>
        <v>0</v>
      </c>
      <c r="J39" s="16">
        <v>0</v>
      </c>
      <c r="K39" s="20">
        <v>0</v>
      </c>
      <c r="L39" s="21"/>
      <c r="M39" s="21"/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22">
        <v>50000</v>
      </c>
      <c r="T39" s="19">
        <f t="shared" si="2"/>
        <v>0</v>
      </c>
      <c r="U39" s="19">
        <f t="shared" si="3"/>
        <v>50000</v>
      </c>
      <c r="V39" s="22">
        <v>50000</v>
      </c>
      <c r="W39" s="31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1446</v>
      </c>
      <c r="AD39" s="22">
        <v>0</v>
      </c>
      <c r="AE39" s="22">
        <v>0</v>
      </c>
      <c r="AF39" s="22">
        <v>15000</v>
      </c>
      <c r="AG39" s="22">
        <v>0</v>
      </c>
      <c r="AH39" s="22">
        <v>0</v>
      </c>
      <c r="AI39" s="22">
        <v>0</v>
      </c>
      <c r="AJ39" s="22">
        <v>0</v>
      </c>
      <c r="AK39" s="22">
        <v>0</v>
      </c>
      <c r="AL39" s="22">
        <v>0</v>
      </c>
      <c r="AM39" s="22">
        <v>0</v>
      </c>
      <c r="AN39" s="22">
        <v>0</v>
      </c>
      <c r="AO39" s="22">
        <v>0</v>
      </c>
      <c r="AP39" s="22">
        <v>0</v>
      </c>
      <c r="AQ39" s="22">
        <v>0</v>
      </c>
      <c r="AR39" s="22">
        <v>0</v>
      </c>
      <c r="AS39" s="22">
        <v>0</v>
      </c>
      <c r="AT39" s="22">
        <v>0</v>
      </c>
      <c r="AU39" s="19">
        <f t="shared" si="4"/>
        <v>16446</v>
      </c>
      <c r="AV39" s="22">
        <v>33554</v>
      </c>
      <c r="AW39" s="24" t="s">
        <v>54</v>
      </c>
      <c r="AX39" s="25">
        <v>45789</v>
      </c>
      <c r="AY39" s="15"/>
      <c r="AZ39" s="26"/>
      <c r="BA39" s="27">
        <f t="shared" si="5"/>
        <v>0</v>
      </c>
      <c r="BB39" s="14"/>
      <c r="BC39" s="28"/>
    </row>
    <row r="40" spans="1:55" ht="28.8" x14ac:dyDescent="0.4">
      <c r="A40" s="15">
        <v>39</v>
      </c>
      <c r="B40" s="16">
        <v>80381</v>
      </c>
      <c r="C40" s="17" t="s">
        <v>103</v>
      </c>
      <c r="D40" s="16" t="s">
        <v>120</v>
      </c>
      <c r="E40" s="16" t="s">
        <v>121</v>
      </c>
      <c r="F40" s="16">
        <v>30</v>
      </c>
      <c r="G40" s="16">
        <v>30</v>
      </c>
      <c r="H40" s="18">
        <f t="shared" si="0"/>
        <v>0</v>
      </c>
      <c r="I40" s="19">
        <f t="shared" si="1"/>
        <v>0</v>
      </c>
      <c r="J40" s="16">
        <v>1</v>
      </c>
      <c r="K40" s="20">
        <v>0</v>
      </c>
      <c r="L40" s="21"/>
      <c r="M40" s="21"/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22">
        <v>25000</v>
      </c>
      <c r="T40" s="19">
        <f t="shared" si="2"/>
        <v>0</v>
      </c>
      <c r="U40" s="19">
        <f t="shared" si="3"/>
        <v>25000</v>
      </c>
      <c r="V40" s="22">
        <v>24167</v>
      </c>
      <c r="W40" s="31">
        <v>833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4000</v>
      </c>
      <c r="AG40" s="22">
        <v>0</v>
      </c>
      <c r="AH40" s="22">
        <v>0</v>
      </c>
      <c r="AI40" s="22">
        <v>0</v>
      </c>
      <c r="AJ40" s="22">
        <v>0</v>
      </c>
      <c r="AK40" s="22">
        <v>0</v>
      </c>
      <c r="AL40" s="22">
        <v>0</v>
      </c>
      <c r="AM40" s="22">
        <v>0</v>
      </c>
      <c r="AN40" s="22">
        <v>0</v>
      </c>
      <c r="AO40" s="22">
        <v>0</v>
      </c>
      <c r="AP40" s="22">
        <v>0</v>
      </c>
      <c r="AQ40" s="22">
        <v>0</v>
      </c>
      <c r="AR40" s="22">
        <v>0</v>
      </c>
      <c r="AS40" s="22">
        <v>0</v>
      </c>
      <c r="AT40" s="22">
        <v>0</v>
      </c>
      <c r="AU40" s="19">
        <f t="shared" si="4"/>
        <v>4000</v>
      </c>
      <c r="AV40" s="22">
        <v>21000</v>
      </c>
      <c r="AW40" s="24" t="s">
        <v>54</v>
      </c>
      <c r="AX40" s="25">
        <v>45789</v>
      </c>
      <c r="AY40" s="15"/>
      <c r="AZ40" s="26"/>
      <c r="BA40" s="27">
        <f t="shared" si="5"/>
        <v>0</v>
      </c>
      <c r="BB40" s="14"/>
      <c r="BC40" s="28"/>
    </row>
    <row r="41" spans="1:55" ht="28.8" x14ac:dyDescent="0.4">
      <c r="A41" s="15">
        <v>40</v>
      </c>
      <c r="B41" s="16">
        <v>80452</v>
      </c>
      <c r="C41" s="17" t="s">
        <v>103</v>
      </c>
      <c r="D41" s="16" t="s">
        <v>122</v>
      </c>
      <c r="E41" s="35" t="s">
        <v>123</v>
      </c>
      <c r="F41" s="16">
        <v>30</v>
      </c>
      <c r="G41" s="16">
        <v>30</v>
      </c>
      <c r="H41" s="18">
        <f t="shared" si="0"/>
        <v>0</v>
      </c>
      <c r="I41" s="19">
        <f t="shared" si="1"/>
        <v>0</v>
      </c>
      <c r="J41" s="16">
        <v>0</v>
      </c>
      <c r="K41" s="20">
        <v>0</v>
      </c>
      <c r="L41" s="21"/>
      <c r="M41" s="21"/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22">
        <v>45000</v>
      </c>
      <c r="T41" s="19">
        <f t="shared" si="2"/>
        <v>0</v>
      </c>
      <c r="U41" s="19">
        <f t="shared" si="3"/>
        <v>45000</v>
      </c>
      <c r="V41" s="22">
        <v>45000</v>
      </c>
      <c r="W41" s="31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10000</v>
      </c>
      <c r="AG41" s="22">
        <v>0</v>
      </c>
      <c r="AH41" s="22">
        <v>0</v>
      </c>
      <c r="AI41" s="22">
        <v>0</v>
      </c>
      <c r="AJ41" s="22">
        <v>0</v>
      </c>
      <c r="AK41" s="22">
        <v>0</v>
      </c>
      <c r="AL41" s="22">
        <v>0</v>
      </c>
      <c r="AM41" s="22">
        <v>0</v>
      </c>
      <c r="AN41" s="22">
        <v>0</v>
      </c>
      <c r="AO41" s="22">
        <v>0</v>
      </c>
      <c r="AP41" s="22">
        <v>0</v>
      </c>
      <c r="AQ41" s="22">
        <v>0</v>
      </c>
      <c r="AR41" s="22">
        <v>0</v>
      </c>
      <c r="AS41" s="22">
        <v>0</v>
      </c>
      <c r="AT41" s="22">
        <v>0</v>
      </c>
      <c r="AU41" s="19">
        <f t="shared" si="4"/>
        <v>10000</v>
      </c>
      <c r="AV41" s="22">
        <v>35000</v>
      </c>
      <c r="AW41" s="24" t="s">
        <v>54</v>
      </c>
      <c r="AX41" s="25">
        <v>45789</v>
      </c>
      <c r="AY41" s="15"/>
      <c r="AZ41" s="26"/>
      <c r="BA41" s="27">
        <f t="shared" si="5"/>
        <v>0</v>
      </c>
      <c r="BB41" s="14"/>
      <c r="BC41" s="28"/>
    </row>
    <row r="42" spans="1:55" ht="28.8" x14ac:dyDescent="0.4">
      <c r="A42" s="15">
        <v>41</v>
      </c>
      <c r="B42" s="16">
        <v>80453</v>
      </c>
      <c r="C42" s="17" t="s">
        <v>103</v>
      </c>
      <c r="D42" s="16" t="s">
        <v>122</v>
      </c>
      <c r="E42" s="16" t="s">
        <v>124</v>
      </c>
      <c r="F42" s="16">
        <v>30</v>
      </c>
      <c r="G42" s="16">
        <v>29</v>
      </c>
      <c r="H42" s="18">
        <f t="shared" si="0"/>
        <v>1</v>
      </c>
      <c r="I42" s="19">
        <f t="shared" si="1"/>
        <v>1166.6666666666667</v>
      </c>
      <c r="J42" s="16">
        <v>0</v>
      </c>
      <c r="K42" s="20">
        <v>0</v>
      </c>
      <c r="L42" s="21"/>
      <c r="M42" s="21"/>
      <c r="N42" s="16">
        <v>0</v>
      </c>
      <c r="O42" s="16">
        <v>0</v>
      </c>
      <c r="P42" s="16">
        <v>1</v>
      </c>
      <c r="Q42" s="16">
        <v>0</v>
      </c>
      <c r="R42" s="16">
        <v>0</v>
      </c>
      <c r="S42" s="22">
        <v>35000</v>
      </c>
      <c r="T42" s="19">
        <f t="shared" si="2"/>
        <v>0</v>
      </c>
      <c r="U42" s="19">
        <f t="shared" si="3"/>
        <v>33833</v>
      </c>
      <c r="V42" s="22">
        <v>33833</v>
      </c>
      <c r="W42" s="31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5000</v>
      </c>
      <c r="AG42" s="22">
        <v>0</v>
      </c>
      <c r="AH42" s="22">
        <v>0</v>
      </c>
      <c r="AI42" s="22">
        <v>0</v>
      </c>
      <c r="AJ42" s="22">
        <v>0</v>
      </c>
      <c r="AK42" s="22">
        <v>0</v>
      </c>
      <c r="AL42" s="22">
        <v>0</v>
      </c>
      <c r="AM42" s="22">
        <v>0</v>
      </c>
      <c r="AN42" s="22">
        <v>0</v>
      </c>
      <c r="AO42" s="22">
        <v>0</v>
      </c>
      <c r="AP42" s="22">
        <v>0</v>
      </c>
      <c r="AQ42" s="22">
        <v>0</v>
      </c>
      <c r="AR42" s="22">
        <v>0</v>
      </c>
      <c r="AS42" s="22">
        <v>0</v>
      </c>
      <c r="AT42" s="22">
        <v>0</v>
      </c>
      <c r="AU42" s="19">
        <f t="shared" si="4"/>
        <v>5000</v>
      </c>
      <c r="AV42" s="22">
        <v>28833.33</v>
      </c>
      <c r="AW42" s="24" t="s">
        <v>54</v>
      </c>
      <c r="AX42" s="25">
        <v>45789</v>
      </c>
      <c r="AY42" s="15"/>
      <c r="AZ42" s="26"/>
      <c r="BA42" s="27">
        <f t="shared" si="5"/>
        <v>3.3333333340124227E-3</v>
      </c>
      <c r="BB42" s="14"/>
      <c r="BC42" s="28"/>
    </row>
    <row r="43" spans="1:55" ht="28.8" x14ac:dyDescent="0.4">
      <c r="A43" s="15">
        <v>42</v>
      </c>
      <c r="B43" s="16">
        <v>80537</v>
      </c>
      <c r="C43" s="17" t="s">
        <v>103</v>
      </c>
      <c r="D43" s="16" t="s">
        <v>125</v>
      </c>
      <c r="E43" s="16" t="s">
        <v>126</v>
      </c>
      <c r="F43" s="16">
        <v>30</v>
      </c>
      <c r="G43" s="16">
        <v>27</v>
      </c>
      <c r="H43" s="18">
        <f t="shared" si="0"/>
        <v>3</v>
      </c>
      <c r="I43" s="19">
        <f t="shared" si="1"/>
        <v>1600</v>
      </c>
      <c r="J43" s="16">
        <v>0</v>
      </c>
      <c r="K43" s="20">
        <v>0</v>
      </c>
      <c r="L43" s="21"/>
      <c r="M43" s="21"/>
      <c r="N43" s="16">
        <v>0</v>
      </c>
      <c r="O43" s="16">
        <v>0</v>
      </c>
      <c r="P43" s="16">
        <v>3</v>
      </c>
      <c r="Q43" s="16">
        <v>0</v>
      </c>
      <c r="R43" s="16">
        <v>0</v>
      </c>
      <c r="S43" s="22">
        <v>16000</v>
      </c>
      <c r="T43" s="19">
        <f t="shared" si="2"/>
        <v>0</v>
      </c>
      <c r="U43" s="19">
        <f t="shared" si="3"/>
        <v>14400</v>
      </c>
      <c r="V43" s="22">
        <v>14400</v>
      </c>
      <c r="W43" s="31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2000</v>
      </c>
      <c r="AG43" s="22">
        <v>0</v>
      </c>
      <c r="AH43" s="22">
        <v>0</v>
      </c>
      <c r="AI43" s="22">
        <v>0</v>
      </c>
      <c r="AJ43" s="22">
        <v>0</v>
      </c>
      <c r="AK43" s="22">
        <v>0</v>
      </c>
      <c r="AL43" s="22">
        <v>0</v>
      </c>
      <c r="AM43" s="22">
        <v>0</v>
      </c>
      <c r="AN43" s="22">
        <v>0</v>
      </c>
      <c r="AO43" s="22">
        <v>0</v>
      </c>
      <c r="AP43" s="22">
        <v>0</v>
      </c>
      <c r="AQ43" s="22">
        <v>0</v>
      </c>
      <c r="AR43" s="22">
        <v>0</v>
      </c>
      <c r="AS43" s="22">
        <v>0</v>
      </c>
      <c r="AT43" s="22">
        <v>0</v>
      </c>
      <c r="AU43" s="19">
        <f t="shared" si="4"/>
        <v>2000</v>
      </c>
      <c r="AV43" s="22">
        <v>12400</v>
      </c>
      <c r="AW43" s="24" t="s">
        <v>54</v>
      </c>
      <c r="AX43" s="25">
        <v>45789</v>
      </c>
      <c r="AY43" s="15"/>
      <c r="AZ43" s="26"/>
      <c r="BA43" s="27">
        <f t="shared" si="5"/>
        <v>1.8189894035458565E-12</v>
      </c>
      <c r="BB43" s="14"/>
      <c r="BC43" s="28"/>
    </row>
    <row r="44" spans="1:55" ht="28.8" x14ac:dyDescent="0.4">
      <c r="A44" s="15">
        <v>43</v>
      </c>
      <c r="B44" s="16">
        <v>80591</v>
      </c>
      <c r="C44" s="17" t="s">
        <v>103</v>
      </c>
      <c r="D44" s="16" t="s">
        <v>127</v>
      </c>
      <c r="E44" s="16" t="s">
        <v>128</v>
      </c>
      <c r="F44" s="16">
        <v>30</v>
      </c>
      <c r="G44" s="16">
        <v>30</v>
      </c>
      <c r="H44" s="18">
        <f t="shared" si="0"/>
        <v>0</v>
      </c>
      <c r="I44" s="19">
        <f t="shared" si="1"/>
        <v>0</v>
      </c>
      <c r="J44" s="16">
        <v>0</v>
      </c>
      <c r="K44" s="20">
        <v>0</v>
      </c>
      <c r="L44" s="21"/>
      <c r="M44" s="21"/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32">
        <v>25000</v>
      </c>
      <c r="T44" s="19">
        <f t="shared" si="2"/>
        <v>0</v>
      </c>
      <c r="U44" s="19">
        <f t="shared" si="3"/>
        <v>25000</v>
      </c>
      <c r="V44" s="22">
        <v>25000</v>
      </c>
      <c r="W44" s="31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4000</v>
      </c>
      <c r="AG44" s="22">
        <v>0</v>
      </c>
      <c r="AH44" s="22">
        <v>0</v>
      </c>
      <c r="AI44" s="22">
        <v>0</v>
      </c>
      <c r="AJ44" s="22">
        <v>0</v>
      </c>
      <c r="AK44" s="22">
        <v>0</v>
      </c>
      <c r="AL44" s="22">
        <v>0</v>
      </c>
      <c r="AM44" s="22">
        <v>0</v>
      </c>
      <c r="AN44" s="22">
        <v>0</v>
      </c>
      <c r="AO44" s="22">
        <v>0</v>
      </c>
      <c r="AP44" s="22">
        <v>0</v>
      </c>
      <c r="AQ44" s="22">
        <v>0</v>
      </c>
      <c r="AR44" s="22">
        <v>0</v>
      </c>
      <c r="AS44" s="22">
        <v>0</v>
      </c>
      <c r="AT44" s="22">
        <v>0</v>
      </c>
      <c r="AU44" s="19">
        <f t="shared" si="4"/>
        <v>4000</v>
      </c>
      <c r="AV44" s="22">
        <v>21000</v>
      </c>
      <c r="AW44" s="24" t="s">
        <v>54</v>
      </c>
      <c r="AX44" s="25">
        <v>45790</v>
      </c>
      <c r="AY44" s="15"/>
      <c r="AZ44" s="26"/>
      <c r="BA44" s="27">
        <f t="shared" si="5"/>
        <v>0</v>
      </c>
      <c r="BB44" s="14"/>
      <c r="BC44" s="28"/>
    </row>
    <row r="45" spans="1:55" ht="28.8" x14ac:dyDescent="0.4">
      <c r="A45" s="15">
        <v>44</v>
      </c>
      <c r="B45" s="16">
        <v>80658</v>
      </c>
      <c r="C45" s="17" t="s">
        <v>103</v>
      </c>
      <c r="D45" s="16" t="s">
        <v>129</v>
      </c>
      <c r="E45" s="16" t="s">
        <v>130</v>
      </c>
      <c r="F45" s="16">
        <v>30</v>
      </c>
      <c r="G45" s="16">
        <v>25</v>
      </c>
      <c r="H45" s="18">
        <f t="shared" si="0"/>
        <v>5</v>
      </c>
      <c r="I45" s="19">
        <f t="shared" si="1"/>
        <v>4166.666666666667</v>
      </c>
      <c r="J45" s="16">
        <v>0</v>
      </c>
      <c r="K45" s="20">
        <v>0</v>
      </c>
      <c r="L45" s="21"/>
      <c r="M45" s="21"/>
      <c r="N45" s="16">
        <v>0</v>
      </c>
      <c r="O45" s="16">
        <v>0</v>
      </c>
      <c r="P45" s="16">
        <v>4</v>
      </c>
      <c r="Q45" s="16">
        <v>1</v>
      </c>
      <c r="R45" s="16">
        <v>0</v>
      </c>
      <c r="S45" s="22">
        <v>25000</v>
      </c>
      <c r="T45" s="19">
        <f t="shared" si="2"/>
        <v>0</v>
      </c>
      <c r="U45" s="19">
        <f t="shared" si="3"/>
        <v>20833</v>
      </c>
      <c r="V45" s="22">
        <v>20833</v>
      </c>
      <c r="W45" s="31">
        <v>0</v>
      </c>
      <c r="X45" s="22">
        <v>0</v>
      </c>
      <c r="Y45" s="22">
        <v>0</v>
      </c>
      <c r="Z45" s="22">
        <v>2500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  <c r="AH45" s="22">
        <v>0</v>
      </c>
      <c r="AI45" s="22">
        <v>0</v>
      </c>
      <c r="AJ45" s="22">
        <v>0</v>
      </c>
      <c r="AK45" s="22">
        <v>0</v>
      </c>
      <c r="AL45" s="22">
        <v>0</v>
      </c>
      <c r="AM45" s="22">
        <v>0</v>
      </c>
      <c r="AN45" s="22">
        <v>0</v>
      </c>
      <c r="AO45" s="22">
        <v>0</v>
      </c>
      <c r="AP45" s="22">
        <v>0</v>
      </c>
      <c r="AQ45" s="22">
        <v>0</v>
      </c>
      <c r="AR45" s="22">
        <v>0</v>
      </c>
      <c r="AS45" s="22">
        <v>0</v>
      </c>
      <c r="AT45" s="22">
        <v>0</v>
      </c>
      <c r="AU45" s="19">
        <f t="shared" si="4"/>
        <v>2500</v>
      </c>
      <c r="AV45" s="22">
        <v>18333.330000000002</v>
      </c>
      <c r="AW45" s="24" t="s">
        <v>54</v>
      </c>
      <c r="AX45" s="25">
        <v>45794</v>
      </c>
      <c r="AY45" s="15"/>
      <c r="AZ45" s="26"/>
      <c r="BA45" s="27">
        <f t="shared" si="5"/>
        <v>3.3333333340124227E-3</v>
      </c>
      <c r="BB45" s="14"/>
      <c r="BC45" s="28"/>
    </row>
    <row r="46" spans="1:55" ht="28.8" x14ac:dyDescent="0.4">
      <c r="A46" s="15">
        <v>45</v>
      </c>
      <c r="B46" s="16">
        <v>3049</v>
      </c>
      <c r="C46" s="17" t="s">
        <v>131</v>
      </c>
      <c r="D46" s="16" t="s">
        <v>132</v>
      </c>
      <c r="E46" s="16" t="s">
        <v>133</v>
      </c>
      <c r="F46" s="16">
        <v>30</v>
      </c>
      <c r="G46" s="16">
        <v>30</v>
      </c>
      <c r="H46" s="18">
        <f t="shared" si="0"/>
        <v>0</v>
      </c>
      <c r="I46" s="19">
        <f t="shared" si="1"/>
        <v>0</v>
      </c>
      <c r="J46" s="16">
        <v>1</v>
      </c>
      <c r="K46" s="20">
        <v>0</v>
      </c>
      <c r="L46" s="21"/>
      <c r="M46" s="21"/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22">
        <v>22000</v>
      </c>
      <c r="T46" s="19">
        <f t="shared" si="2"/>
        <v>0</v>
      </c>
      <c r="U46" s="19">
        <f t="shared" si="3"/>
        <v>22000</v>
      </c>
      <c r="V46" s="22">
        <v>21267</v>
      </c>
      <c r="W46" s="31">
        <v>733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2000</v>
      </c>
      <c r="AG46" s="22">
        <v>0</v>
      </c>
      <c r="AH46" s="22">
        <v>0</v>
      </c>
      <c r="AI46" s="22">
        <v>0</v>
      </c>
      <c r="AJ46" s="22">
        <v>0</v>
      </c>
      <c r="AK46" s="22">
        <v>0</v>
      </c>
      <c r="AL46" s="22">
        <v>0</v>
      </c>
      <c r="AM46" s="22">
        <v>0</v>
      </c>
      <c r="AN46" s="22">
        <v>0</v>
      </c>
      <c r="AO46" s="22">
        <v>0</v>
      </c>
      <c r="AP46" s="22">
        <v>0</v>
      </c>
      <c r="AQ46" s="22">
        <v>0</v>
      </c>
      <c r="AR46" s="22">
        <v>0</v>
      </c>
      <c r="AS46" s="22">
        <v>0</v>
      </c>
      <c r="AT46" s="22">
        <v>0</v>
      </c>
      <c r="AU46" s="19">
        <f t="shared" si="4"/>
        <v>2000</v>
      </c>
      <c r="AV46" s="22">
        <v>20000</v>
      </c>
      <c r="AW46" s="24" t="s">
        <v>54</v>
      </c>
      <c r="AX46" s="25">
        <v>45790</v>
      </c>
      <c r="AY46" s="15"/>
      <c r="AZ46" s="26"/>
      <c r="BA46" s="27">
        <f t="shared" si="5"/>
        <v>0</v>
      </c>
      <c r="BB46" s="14"/>
      <c r="BC46" s="28"/>
    </row>
    <row r="47" spans="1:55" ht="28.8" x14ac:dyDescent="0.4">
      <c r="A47" s="15">
        <v>46</v>
      </c>
      <c r="B47" s="16">
        <v>3050</v>
      </c>
      <c r="C47" s="17" t="s">
        <v>131</v>
      </c>
      <c r="D47" s="16" t="s">
        <v>132</v>
      </c>
      <c r="E47" s="16" t="s">
        <v>134</v>
      </c>
      <c r="F47" s="16">
        <v>30</v>
      </c>
      <c r="G47" s="16">
        <v>29</v>
      </c>
      <c r="H47" s="18">
        <f t="shared" si="0"/>
        <v>1</v>
      </c>
      <c r="I47" s="19">
        <f t="shared" si="1"/>
        <v>733.33333333333337</v>
      </c>
      <c r="J47" s="16">
        <v>1</v>
      </c>
      <c r="K47" s="20">
        <v>0</v>
      </c>
      <c r="L47" s="21"/>
      <c r="M47" s="21"/>
      <c r="N47" s="16">
        <v>0</v>
      </c>
      <c r="O47" s="16">
        <v>0</v>
      </c>
      <c r="P47" s="16">
        <v>1</v>
      </c>
      <c r="Q47" s="16">
        <v>0</v>
      </c>
      <c r="R47" s="16">
        <v>0</v>
      </c>
      <c r="S47" s="22">
        <v>22000</v>
      </c>
      <c r="T47" s="19">
        <f t="shared" si="2"/>
        <v>0</v>
      </c>
      <c r="U47" s="19">
        <f t="shared" si="3"/>
        <v>21266</v>
      </c>
      <c r="V47" s="22">
        <v>20533</v>
      </c>
      <c r="W47" s="31">
        <v>733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  <c r="AH47" s="22">
        <v>0</v>
      </c>
      <c r="AI47" s="22">
        <v>0</v>
      </c>
      <c r="AJ47" s="22">
        <v>0</v>
      </c>
      <c r="AK47" s="22">
        <v>0</v>
      </c>
      <c r="AL47" s="22">
        <v>0</v>
      </c>
      <c r="AM47" s="22">
        <v>0</v>
      </c>
      <c r="AN47" s="22">
        <v>0</v>
      </c>
      <c r="AO47" s="22">
        <v>0</v>
      </c>
      <c r="AP47" s="22">
        <v>0</v>
      </c>
      <c r="AQ47" s="22">
        <v>0</v>
      </c>
      <c r="AR47" s="22">
        <v>0</v>
      </c>
      <c r="AS47" s="22">
        <v>0</v>
      </c>
      <c r="AT47" s="22">
        <v>0</v>
      </c>
      <c r="AU47" s="19">
        <f t="shared" si="4"/>
        <v>0</v>
      </c>
      <c r="AV47" s="22">
        <v>21266.67</v>
      </c>
      <c r="AW47" s="24" t="s">
        <v>54</v>
      </c>
      <c r="AX47" s="25">
        <v>45789</v>
      </c>
      <c r="AY47" s="15"/>
      <c r="AZ47" s="26"/>
      <c r="BA47" s="27">
        <f t="shared" si="5"/>
        <v>-3.3333333303744439E-3</v>
      </c>
      <c r="BB47" s="14"/>
      <c r="BC47" s="28"/>
    </row>
    <row r="48" spans="1:55" ht="28.8" x14ac:dyDescent="0.4">
      <c r="A48" s="15">
        <v>47</v>
      </c>
      <c r="B48" s="16">
        <v>4002</v>
      </c>
      <c r="C48" s="17" t="s">
        <v>135</v>
      </c>
      <c r="D48" s="16" t="s">
        <v>135</v>
      </c>
      <c r="E48" s="16" t="s">
        <v>136</v>
      </c>
      <c r="F48" s="16">
        <v>30</v>
      </c>
      <c r="G48" s="16">
        <v>30</v>
      </c>
      <c r="H48" s="18">
        <f t="shared" si="0"/>
        <v>0</v>
      </c>
      <c r="I48" s="19">
        <f t="shared" si="1"/>
        <v>0</v>
      </c>
      <c r="J48" s="16">
        <v>0</v>
      </c>
      <c r="K48" s="20">
        <v>0</v>
      </c>
      <c r="L48" s="21"/>
      <c r="M48" s="21"/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22">
        <v>49500</v>
      </c>
      <c r="T48" s="19">
        <f t="shared" si="2"/>
        <v>0</v>
      </c>
      <c r="U48" s="19">
        <f t="shared" si="3"/>
        <v>49500</v>
      </c>
      <c r="V48" s="22">
        <v>49500</v>
      </c>
      <c r="W48" s="31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10000</v>
      </c>
      <c r="AG48" s="22">
        <v>0</v>
      </c>
      <c r="AH48" s="22">
        <v>0</v>
      </c>
      <c r="AI48" s="22">
        <v>0</v>
      </c>
      <c r="AJ48" s="22">
        <v>0</v>
      </c>
      <c r="AK48" s="22">
        <v>0</v>
      </c>
      <c r="AL48" s="22">
        <v>0</v>
      </c>
      <c r="AM48" s="22">
        <v>0</v>
      </c>
      <c r="AN48" s="22">
        <v>0</v>
      </c>
      <c r="AO48" s="22">
        <v>0</v>
      </c>
      <c r="AP48" s="22">
        <v>0</v>
      </c>
      <c r="AQ48" s="22">
        <v>0</v>
      </c>
      <c r="AR48" s="22">
        <v>0</v>
      </c>
      <c r="AS48" s="22">
        <v>0</v>
      </c>
      <c r="AT48" s="22">
        <v>0</v>
      </c>
      <c r="AU48" s="19">
        <f t="shared" si="4"/>
        <v>10000</v>
      </c>
      <c r="AV48" s="22">
        <v>39500</v>
      </c>
      <c r="AW48" s="24" t="s">
        <v>54</v>
      </c>
      <c r="AX48" s="25">
        <v>45789</v>
      </c>
      <c r="AY48" s="15"/>
      <c r="AZ48" s="26"/>
      <c r="BA48" s="27">
        <f t="shared" si="5"/>
        <v>0</v>
      </c>
      <c r="BB48" s="14"/>
      <c r="BC48" s="28"/>
    </row>
    <row r="49" spans="1:55" ht="42.6" x14ac:dyDescent="0.4">
      <c r="A49" s="15">
        <v>48</v>
      </c>
      <c r="B49" s="16">
        <v>4003</v>
      </c>
      <c r="C49" s="17" t="s">
        <v>135</v>
      </c>
      <c r="D49" s="16" t="s">
        <v>137</v>
      </c>
      <c r="E49" s="16" t="s">
        <v>138</v>
      </c>
      <c r="F49" s="16">
        <v>30</v>
      </c>
      <c r="G49" s="16">
        <v>23</v>
      </c>
      <c r="H49" s="18">
        <f t="shared" si="0"/>
        <v>7</v>
      </c>
      <c r="I49" s="19">
        <f t="shared" si="1"/>
        <v>9881.6666666666679</v>
      </c>
      <c r="J49" s="16">
        <v>4</v>
      </c>
      <c r="K49" s="20">
        <v>2</v>
      </c>
      <c r="L49" s="21"/>
      <c r="M49" s="21"/>
      <c r="N49" s="16">
        <v>0</v>
      </c>
      <c r="O49" s="16">
        <v>0</v>
      </c>
      <c r="P49" s="16">
        <v>0</v>
      </c>
      <c r="Q49" s="16">
        <v>0</v>
      </c>
      <c r="R49" s="16">
        <v>7</v>
      </c>
      <c r="S49" s="22">
        <v>42350</v>
      </c>
      <c r="T49" s="19">
        <f t="shared" si="2"/>
        <v>2823.3333333333335</v>
      </c>
      <c r="U49" s="19">
        <f t="shared" si="3"/>
        <v>29645</v>
      </c>
      <c r="V49" s="22">
        <v>26822</v>
      </c>
      <c r="W49" s="31">
        <v>2823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10000</v>
      </c>
      <c r="AG49" s="22">
        <v>0</v>
      </c>
      <c r="AH49" s="22">
        <v>0</v>
      </c>
      <c r="AI49" s="22">
        <v>0</v>
      </c>
      <c r="AJ49" s="22">
        <v>0</v>
      </c>
      <c r="AK49" s="22">
        <v>0</v>
      </c>
      <c r="AL49" s="22">
        <v>0</v>
      </c>
      <c r="AM49" s="22">
        <v>0</v>
      </c>
      <c r="AN49" s="22">
        <v>0</v>
      </c>
      <c r="AO49" s="22">
        <v>0</v>
      </c>
      <c r="AP49" s="22">
        <v>0</v>
      </c>
      <c r="AQ49" s="22">
        <v>0</v>
      </c>
      <c r="AR49" s="22">
        <v>0</v>
      </c>
      <c r="AS49" s="22">
        <v>0</v>
      </c>
      <c r="AT49" s="22">
        <v>0</v>
      </c>
      <c r="AU49" s="19">
        <f t="shared" si="4"/>
        <v>10000</v>
      </c>
      <c r="AV49" s="22">
        <v>19645</v>
      </c>
      <c r="AW49" s="24" t="s">
        <v>54</v>
      </c>
      <c r="AX49" s="25">
        <v>45789</v>
      </c>
      <c r="AY49" s="15"/>
      <c r="AZ49" s="26"/>
      <c r="BA49" s="27">
        <f t="shared" si="5"/>
        <v>3.637978807091713E-12</v>
      </c>
      <c r="BB49" s="14"/>
      <c r="BC49" s="28"/>
    </row>
    <row r="50" spans="1:55" ht="28.8" x14ac:dyDescent="0.4">
      <c r="A50" s="15">
        <v>49</v>
      </c>
      <c r="B50" s="16">
        <v>80439</v>
      </c>
      <c r="C50" s="17" t="s">
        <v>135</v>
      </c>
      <c r="D50" s="16" t="s">
        <v>139</v>
      </c>
      <c r="E50" s="16" t="s">
        <v>140</v>
      </c>
      <c r="F50" s="16">
        <v>30</v>
      </c>
      <c r="G50" s="16">
        <v>30</v>
      </c>
      <c r="H50" s="18">
        <f t="shared" si="0"/>
        <v>0</v>
      </c>
      <c r="I50" s="19">
        <f t="shared" si="1"/>
        <v>0</v>
      </c>
      <c r="J50" s="16">
        <v>0</v>
      </c>
      <c r="K50" s="20">
        <v>0</v>
      </c>
      <c r="L50" s="21"/>
      <c r="M50" s="21"/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22">
        <v>25000</v>
      </c>
      <c r="T50" s="19">
        <f t="shared" si="2"/>
        <v>0</v>
      </c>
      <c r="U50" s="19">
        <f t="shared" si="3"/>
        <v>25000</v>
      </c>
      <c r="V50" s="22">
        <v>25000</v>
      </c>
      <c r="W50" s="31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  <c r="AH50" s="22">
        <v>0</v>
      </c>
      <c r="AI50" s="22">
        <v>0</v>
      </c>
      <c r="AJ50" s="22">
        <v>0</v>
      </c>
      <c r="AK50" s="22">
        <v>0</v>
      </c>
      <c r="AL50" s="22">
        <v>0</v>
      </c>
      <c r="AM50" s="22">
        <v>0</v>
      </c>
      <c r="AN50" s="22">
        <v>0</v>
      </c>
      <c r="AO50" s="22">
        <v>0</v>
      </c>
      <c r="AP50" s="22">
        <v>0</v>
      </c>
      <c r="AQ50" s="22">
        <v>0</v>
      </c>
      <c r="AR50" s="22">
        <v>0</v>
      </c>
      <c r="AS50" s="22">
        <v>0</v>
      </c>
      <c r="AT50" s="22">
        <v>0</v>
      </c>
      <c r="AU50" s="19">
        <f t="shared" si="4"/>
        <v>0</v>
      </c>
      <c r="AV50" s="22">
        <v>25000</v>
      </c>
      <c r="AW50" s="24" t="s">
        <v>54</v>
      </c>
      <c r="AX50" s="25">
        <v>45790</v>
      </c>
      <c r="AY50" s="15"/>
      <c r="AZ50" s="26"/>
      <c r="BA50" s="27">
        <f t="shared" si="5"/>
        <v>0</v>
      </c>
      <c r="BB50" s="14"/>
      <c r="BC50" s="28"/>
    </row>
    <row r="51" spans="1:55" ht="28.8" x14ac:dyDescent="0.4">
      <c r="A51" s="15">
        <v>50</v>
      </c>
      <c r="B51" s="16">
        <v>5025</v>
      </c>
      <c r="C51" s="17" t="s">
        <v>141</v>
      </c>
      <c r="D51" s="16" t="s">
        <v>142</v>
      </c>
      <c r="E51" s="16" t="s">
        <v>143</v>
      </c>
      <c r="F51" s="16">
        <v>30</v>
      </c>
      <c r="G51" s="16">
        <v>30</v>
      </c>
      <c r="H51" s="18">
        <f t="shared" si="0"/>
        <v>0</v>
      </c>
      <c r="I51" s="19">
        <f t="shared" si="1"/>
        <v>0</v>
      </c>
      <c r="J51" s="16">
        <v>9</v>
      </c>
      <c r="K51" s="20">
        <v>4</v>
      </c>
      <c r="L51" s="21"/>
      <c r="M51" s="21"/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22">
        <v>40000</v>
      </c>
      <c r="T51" s="19">
        <f t="shared" si="2"/>
        <v>5333.333333333333</v>
      </c>
      <c r="U51" s="19">
        <f t="shared" si="3"/>
        <v>34667</v>
      </c>
      <c r="V51" s="22">
        <v>28000</v>
      </c>
      <c r="W51" s="31">
        <v>6667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22">
        <v>0</v>
      </c>
      <c r="AL51" s="22">
        <v>0</v>
      </c>
      <c r="AM51" s="22">
        <v>0</v>
      </c>
      <c r="AN51" s="22">
        <v>0</v>
      </c>
      <c r="AO51" s="22">
        <v>0</v>
      </c>
      <c r="AP51" s="22">
        <v>0</v>
      </c>
      <c r="AQ51" s="22">
        <v>0</v>
      </c>
      <c r="AR51" s="22">
        <v>0</v>
      </c>
      <c r="AS51" s="22">
        <v>0</v>
      </c>
      <c r="AT51" s="22">
        <v>0</v>
      </c>
      <c r="AU51" s="19">
        <f t="shared" si="4"/>
        <v>0</v>
      </c>
      <c r="AV51" s="22">
        <v>34666.67</v>
      </c>
      <c r="AW51" s="24" t="s">
        <v>54</v>
      </c>
      <c r="AX51" s="25">
        <v>45789</v>
      </c>
      <c r="AY51" s="15"/>
      <c r="AZ51" s="26"/>
      <c r="BA51" s="27">
        <f t="shared" si="5"/>
        <v>-3.3333333340124227E-3</v>
      </c>
      <c r="BB51" s="14"/>
      <c r="BC51" s="28"/>
    </row>
    <row r="52" spans="1:55" ht="28.8" x14ac:dyDescent="0.4">
      <c r="A52" s="15">
        <v>51</v>
      </c>
      <c r="B52" s="16">
        <v>5028</v>
      </c>
      <c r="C52" s="17" t="s">
        <v>141</v>
      </c>
      <c r="D52" s="16" t="s">
        <v>142</v>
      </c>
      <c r="E52" s="16" t="s">
        <v>144</v>
      </c>
      <c r="F52" s="16">
        <v>30</v>
      </c>
      <c r="G52" s="16">
        <v>30</v>
      </c>
      <c r="H52" s="18">
        <f t="shared" si="0"/>
        <v>0</v>
      </c>
      <c r="I52" s="19">
        <f t="shared" si="1"/>
        <v>0</v>
      </c>
      <c r="J52" s="16">
        <v>13</v>
      </c>
      <c r="K52" s="20">
        <v>6</v>
      </c>
      <c r="L52" s="21"/>
      <c r="M52" s="21"/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22">
        <v>36300</v>
      </c>
      <c r="T52" s="19">
        <f t="shared" si="2"/>
        <v>7260</v>
      </c>
      <c r="U52" s="19">
        <f t="shared" si="3"/>
        <v>29040</v>
      </c>
      <c r="V52" s="22">
        <v>20570</v>
      </c>
      <c r="W52" s="31">
        <v>8470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1277</v>
      </c>
      <c r="AD52" s="22">
        <v>0</v>
      </c>
      <c r="AE52" s="22">
        <v>0</v>
      </c>
      <c r="AF52" s="22">
        <v>10000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19">
        <f t="shared" si="4"/>
        <v>11277</v>
      </c>
      <c r="AV52" s="22">
        <v>17763</v>
      </c>
      <c r="AW52" s="24" t="s">
        <v>54</v>
      </c>
      <c r="AX52" s="25">
        <v>45790</v>
      </c>
      <c r="AY52" s="15">
        <v>-15000</v>
      </c>
      <c r="AZ52" s="26"/>
      <c r="BA52" s="27">
        <f t="shared" si="5"/>
        <v>0</v>
      </c>
      <c r="BB52" s="14"/>
      <c r="BC52" s="28"/>
    </row>
    <row r="53" spans="1:55" ht="42.6" x14ac:dyDescent="0.4">
      <c r="A53" s="15">
        <v>52</v>
      </c>
      <c r="B53" s="16">
        <v>5039</v>
      </c>
      <c r="C53" s="17" t="s">
        <v>141</v>
      </c>
      <c r="D53" s="16" t="s">
        <v>142</v>
      </c>
      <c r="E53" s="16" t="s">
        <v>145</v>
      </c>
      <c r="F53" s="16">
        <v>30</v>
      </c>
      <c r="G53" s="16">
        <v>29</v>
      </c>
      <c r="H53" s="18">
        <f t="shared" si="0"/>
        <v>1</v>
      </c>
      <c r="I53" s="19">
        <f t="shared" si="1"/>
        <v>968</v>
      </c>
      <c r="J53" s="16">
        <v>0</v>
      </c>
      <c r="K53" s="20">
        <v>0</v>
      </c>
      <c r="L53" s="21"/>
      <c r="M53" s="21"/>
      <c r="N53" s="16">
        <v>0</v>
      </c>
      <c r="O53" s="16">
        <v>0</v>
      </c>
      <c r="P53" s="16">
        <v>0</v>
      </c>
      <c r="Q53" s="16">
        <v>0</v>
      </c>
      <c r="R53" s="16">
        <v>1</v>
      </c>
      <c r="S53" s="22">
        <v>29040</v>
      </c>
      <c r="T53" s="19">
        <f t="shared" si="2"/>
        <v>0</v>
      </c>
      <c r="U53" s="19">
        <f t="shared" si="3"/>
        <v>28072</v>
      </c>
      <c r="V53" s="22">
        <v>28072</v>
      </c>
      <c r="W53" s="31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  <c r="AH53" s="22">
        <v>0</v>
      </c>
      <c r="AI53" s="22">
        <v>0</v>
      </c>
      <c r="AJ53" s="22">
        <v>0</v>
      </c>
      <c r="AK53" s="22">
        <v>0</v>
      </c>
      <c r="AL53" s="22">
        <v>0</v>
      </c>
      <c r="AM53" s="22">
        <v>0</v>
      </c>
      <c r="AN53" s="22">
        <v>0</v>
      </c>
      <c r="AO53" s="22">
        <v>0</v>
      </c>
      <c r="AP53" s="22">
        <v>0</v>
      </c>
      <c r="AQ53" s="22">
        <v>0</v>
      </c>
      <c r="AR53" s="22">
        <v>0</v>
      </c>
      <c r="AS53" s="22">
        <v>0</v>
      </c>
      <c r="AT53" s="22">
        <v>0</v>
      </c>
      <c r="AU53" s="19">
        <f t="shared" si="4"/>
        <v>0</v>
      </c>
      <c r="AV53" s="22">
        <v>28072</v>
      </c>
      <c r="AW53" s="24" t="s">
        <v>54</v>
      </c>
      <c r="AX53" s="34"/>
      <c r="AY53" s="15"/>
      <c r="AZ53" s="26"/>
      <c r="BA53" s="27">
        <f t="shared" si="5"/>
        <v>0</v>
      </c>
      <c r="BB53" s="14"/>
      <c r="BC53" s="28"/>
    </row>
    <row r="54" spans="1:55" ht="21" x14ac:dyDescent="0.4">
      <c r="A54" s="15">
        <v>53</v>
      </c>
      <c r="B54" s="16">
        <v>50643</v>
      </c>
      <c r="C54" s="17" t="s">
        <v>141</v>
      </c>
      <c r="D54" s="16" t="s">
        <v>142</v>
      </c>
      <c r="E54" s="16" t="s">
        <v>146</v>
      </c>
      <c r="F54" s="16">
        <v>30</v>
      </c>
      <c r="G54" s="16">
        <v>30</v>
      </c>
      <c r="H54" s="18">
        <f t="shared" si="0"/>
        <v>0</v>
      </c>
      <c r="I54" s="19">
        <f t="shared" si="1"/>
        <v>0</v>
      </c>
      <c r="J54" s="16">
        <v>3</v>
      </c>
      <c r="K54" s="33">
        <v>1</v>
      </c>
      <c r="L54" s="21"/>
      <c r="M54" s="21"/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22">
        <v>27600</v>
      </c>
      <c r="T54" s="19">
        <f t="shared" si="2"/>
        <v>920</v>
      </c>
      <c r="U54" s="19">
        <f t="shared" si="3"/>
        <v>27600</v>
      </c>
      <c r="V54" s="22">
        <v>24840</v>
      </c>
      <c r="W54" s="31">
        <f>1840+920</f>
        <v>2760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5000</v>
      </c>
      <c r="AG54" s="22">
        <v>0</v>
      </c>
      <c r="AH54" s="22">
        <v>0</v>
      </c>
      <c r="AI54" s="22">
        <v>0</v>
      </c>
      <c r="AJ54" s="22">
        <v>0</v>
      </c>
      <c r="AK54" s="22">
        <v>0</v>
      </c>
      <c r="AL54" s="22">
        <v>0</v>
      </c>
      <c r="AM54" s="22">
        <v>0</v>
      </c>
      <c r="AN54" s="22">
        <v>0</v>
      </c>
      <c r="AO54" s="22">
        <v>0</v>
      </c>
      <c r="AP54" s="22">
        <v>0</v>
      </c>
      <c r="AQ54" s="22">
        <v>0</v>
      </c>
      <c r="AR54" s="22">
        <v>0</v>
      </c>
      <c r="AS54" s="22">
        <v>0</v>
      </c>
      <c r="AT54" s="22">
        <v>0</v>
      </c>
      <c r="AU54" s="19">
        <f t="shared" si="4"/>
        <v>5000</v>
      </c>
      <c r="AV54" s="22">
        <f>21680+920</f>
        <v>22600</v>
      </c>
      <c r="AW54" s="29" t="s">
        <v>54</v>
      </c>
      <c r="AX54" s="25">
        <v>45789</v>
      </c>
      <c r="AY54" s="15"/>
      <c r="AZ54" s="26"/>
      <c r="BA54" s="27">
        <f t="shared" si="5"/>
        <v>-920</v>
      </c>
      <c r="BB54" s="14"/>
      <c r="BC54" s="28"/>
    </row>
    <row r="55" spans="1:55" ht="28.8" x14ac:dyDescent="0.4">
      <c r="A55" s="15">
        <v>54</v>
      </c>
      <c r="B55" s="16">
        <v>5045</v>
      </c>
      <c r="C55" s="17" t="s">
        <v>141</v>
      </c>
      <c r="D55" s="16" t="s">
        <v>142</v>
      </c>
      <c r="E55" s="16" t="s">
        <v>147</v>
      </c>
      <c r="F55" s="16">
        <v>30</v>
      </c>
      <c r="G55" s="16">
        <v>30</v>
      </c>
      <c r="H55" s="18">
        <f t="shared" si="0"/>
        <v>0</v>
      </c>
      <c r="I55" s="19">
        <f t="shared" si="1"/>
        <v>0</v>
      </c>
      <c r="J55" s="16">
        <v>0</v>
      </c>
      <c r="K55" s="20">
        <v>0</v>
      </c>
      <c r="L55" s="21"/>
      <c r="M55" s="21"/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22">
        <v>26400</v>
      </c>
      <c r="T55" s="19">
        <f t="shared" si="2"/>
        <v>0</v>
      </c>
      <c r="U55" s="19">
        <f t="shared" si="3"/>
        <v>26400</v>
      </c>
      <c r="V55" s="22">
        <v>26400</v>
      </c>
      <c r="W55" s="31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3253</v>
      </c>
      <c r="AD55" s="22">
        <v>0</v>
      </c>
      <c r="AE55" s="22">
        <v>0</v>
      </c>
      <c r="AF55" s="22">
        <v>3000</v>
      </c>
      <c r="AG55" s="22">
        <v>0</v>
      </c>
      <c r="AH55" s="22">
        <v>0</v>
      </c>
      <c r="AI55" s="22">
        <v>0</v>
      </c>
      <c r="AJ55" s="22">
        <v>0</v>
      </c>
      <c r="AK55" s="22">
        <v>0</v>
      </c>
      <c r="AL55" s="22">
        <v>0</v>
      </c>
      <c r="AM55" s="22">
        <v>0</v>
      </c>
      <c r="AN55" s="22">
        <v>0</v>
      </c>
      <c r="AO55" s="22">
        <v>0</v>
      </c>
      <c r="AP55" s="22">
        <v>0</v>
      </c>
      <c r="AQ55" s="22">
        <v>0</v>
      </c>
      <c r="AR55" s="22">
        <v>0</v>
      </c>
      <c r="AS55" s="22">
        <v>0</v>
      </c>
      <c r="AT55" s="22">
        <v>0</v>
      </c>
      <c r="AU55" s="19">
        <f t="shared" si="4"/>
        <v>6253</v>
      </c>
      <c r="AV55" s="22">
        <v>20147</v>
      </c>
      <c r="AW55" s="24" t="s">
        <v>54</v>
      </c>
      <c r="AX55" s="25">
        <v>45789</v>
      </c>
      <c r="AY55" s="15">
        <v>-1000</v>
      </c>
      <c r="AZ55" s="26"/>
      <c r="BA55" s="27">
        <f t="shared" si="5"/>
        <v>0</v>
      </c>
      <c r="BB55" s="14"/>
      <c r="BC55" s="28"/>
    </row>
    <row r="56" spans="1:55" ht="28.8" x14ac:dyDescent="0.4">
      <c r="A56" s="15">
        <v>55</v>
      </c>
      <c r="B56" s="16">
        <v>5048</v>
      </c>
      <c r="C56" s="17" t="s">
        <v>141</v>
      </c>
      <c r="D56" s="16" t="s">
        <v>142</v>
      </c>
      <c r="E56" s="16" t="s">
        <v>148</v>
      </c>
      <c r="F56" s="16">
        <v>30</v>
      </c>
      <c r="G56" s="16">
        <v>30</v>
      </c>
      <c r="H56" s="18">
        <f t="shared" si="0"/>
        <v>0</v>
      </c>
      <c r="I56" s="19">
        <f t="shared" si="1"/>
        <v>0</v>
      </c>
      <c r="J56" s="16">
        <v>15</v>
      </c>
      <c r="K56" s="20">
        <v>7</v>
      </c>
      <c r="L56" s="21"/>
      <c r="M56" s="21"/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22">
        <v>26400</v>
      </c>
      <c r="T56" s="19">
        <f t="shared" si="2"/>
        <v>6160</v>
      </c>
      <c r="U56" s="19">
        <f t="shared" si="3"/>
        <v>20240</v>
      </c>
      <c r="V56" s="22">
        <v>13200</v>
      </c>
      <c r="W56" s="31">
        <v>7040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  <c r="AH56" s="22">
        <v>0</v>
      </c>
      <c r="AI56" s="22">
        <v>0</v>
      </c>
      <c r="AJ56" s="22">
        <v>0</v>
      </c>
      <c r="AK56" s="22">
        <v>0</v>
      </c>
      <c r="AL56" s="22">
        <v>0</v>
      </c>
      <c r="AM56" s="22">
        <v>0</v>
      </c>
      <c r="AN56" s="22">
        <v>0</v>
      </c>
      <c r="AO56" s="22">
        <v>0</v>
      </c>
      <c r="AP56" s="22">
        <v>0</v>
      </c>
      <c r="AQ56" s="22">
        <v>0</v>
      </c>
      <c r="AR56" s="22">
        <v>0</v>
      </c>
      <c r="AS56" s="22">
        <v>0</v>
      </c>
      <c r="AT56" s="22">
        <v>0</v>
      </c>
      <c r="AU56" s="19">
        <f t="shared" si="4"/>
        <v>0</v>
      </c>
      <c r="AV56" s="22">
        <v>20240</v>
      </c>
      <c r="AW56" s="24" t="s">
        <v>54</v>
      </c>
      <c r="AX56" s="25">
        <v>45789</v>
      </c>
      <c r="AY56" s="15"/>
      <c r="AZ56" s="26"/>
      <c r="BA56" s="27">
        <f t="shared" si="5"/>
        <v>0</v>
      </c>
      <c r="BB56" s="14"/>
      <c r="BC56" s="28"/>
    </row>
    <row r="57" spans="1:55" ht="42.6" x14ac:dyDescent="0.4">
      <c r="A57" s="15">
        <v>56</v>
      </c>
      <c r="B57" s="16">
        <v>5026</v>
      </c>
      <c r="C57" s="17" t="s">
        <v>141</v>
      </c>
      <c r="D57" s="16" t="s">
        <v>142</v>
      </c>
      <c r="E57" s="16" t="s">
        <v>149</v>
      </c>
      <c r="F57" s="16">
        <v>30</v>
      </c>
      <c r="G57" s="16">
        <v>30</v>
      </c>
      <c r="H57" s="18">
        <f t="shared" si="0"/>
        <v>0</v>
      </c>
      <c r="I57" s="19">
        <f t="shared" si="1"/>
        <v>0</v>
      </c>
      <c r="J57" s="16">
        <v>15</v>
      </c>
      <c r="K57" s="20">
        <v>7</v>
      </c>
      <c r="L57" s="21"/>
      <c r="M57" s="21"/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22">
        <v>26400</v>
      </c>
      <c r="T57" s="19">
        <f t="shared" si="2"/>
        <v>6160</v>
      </c>
      <c r="U57" s="19">
        <f t="shared" si="3"/>
        <v>20240</v>
      </c>
      <c r="V57" s="22">
        <v>13200</v>
      </c>
      <c r="W57" s="31">
        <v>7040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2785</v>
      </c>
      <c r="AD57" s="22">
        <v>5000</v>
      </c>
      <c r="AE57" s="22">
        <v>0</v>
      </c>
      <c r="AF57" s="22">
        <v>4000</v>
      </c>
      <c r="AG57" s="32"/>
      <c r="AH57" s="22">
        <v>0</v>
      </c>
      <c r="AI57" s="22">
        <v>0</v>
      </c>
      <c r="AJ57" s="22">
        <v>0</v>
      </c>
      <c r="AK57" s="22">
        <v>0</v>
      </c>
      <c r="AL57" s="22">
        <v>0</v>
      </c>
      <c r="AM57" s="22">
        <v>0</v>
      </c>
      <c r="AN57" s="22">
        <v>0</v>
      </c>
      <c r="AO57" s="22">
        <v>0</v>
      </c>
      <c r="AP57" s="22">
        <v>0</v>
      </c>
      <c r="AQ57" s="22">
        <v>0</v>
      </c>
      <c r="AR57" s="22">
        <v>0</v>
      </c>
      <c r="AS57" s="22">
        <v>0</v>
      </c>
      <c r="AT57" s="22">
        <v>0</v>
      </c>
      <c r="AU57" s="19">
        <f t="shared" si="4"/>
        <v>11785</v>
      </c>
      <c r="AV57" s="22">
        <f>13455-5000</f>
        <v>8455</v>
      </c>
      <c r="AW57" s="24" t="s">
        <v>54</v>
      </c>
      <c r="AX57" s="25">
        <v>45789</v>
      </c>
      <c r="AY57" s="15"/>
      <c r="AZ57" s="26"/>
      <c r="BA57" s="27">
        <f t="shared" si="5"/>
        <v>0</v>
      </c>
      <c r="BB57" s="14"/>
      <c r="BC57" s="28"/>
    </row>
    <row r="58" spans="1:55" ht="21" x14ac:dyDescent="0.4">
      <c r="A58" s="15">
        <v>57</v>
      </c>
      <c r="B58" s="16">
        <v>5050</v>
      </c>
      <c r="C58" s="17" t="s">
        <v>141</v>
      </c>
      <c r="D58" s="16" t="s">
        <v>142</v>
      </c>
      <c r="E58" s="16" t="s">
        <v>150</v>
      </c>
      <c r="F58" s="16">
        <v>30</v>
      </c>
      <c r="G58" s="16">
        <v>30</v>
      </c>
      <c r="H58" s="18">
        <f t="shared" si="0"/>
        <v>0</v>
      </c>
      <c r="I58" s="19">
        <f t="shared" si="1"/>
        <v>0</v>
      </c>
      <c r="J58" s="16">
        <v>3</v>
      </c>
      <c r="K58" s="33">
        <v>1</v>
      </c>
      <c r="L58" s="21"/>
      <c r="M58" s="21"/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22">
        <v>26400</v>
      </c>
      <c r="T58" s="19">
        <f t="shared" si="2"/>
        <v>880</v>
      </c>
      <c r="U58" s="19">
        <f t="shared" si="3"/>
        <v>26400</v>
      </c>
      <c r="V58" s="22">
        <v>23760</v>
      </c>
      <c r="W58" s="31">
        <f>1760+880</f>
        <v>2640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525</v>
      </c>
      <c r="AD58" s="22">
        <v>0</v>
      </c>
      <c r="AE58" s="22">
        <v>0</v>
      </c>
      <c r="AF58" s="22">
        <v>5000</v>
      </c>
      <c r="AG58" s="22">
        <v>0</v>
      </c>
      <c r="AH58" s="22">
        <v>0</v>
      </c>
      <c r="AI58" s="22">
        <v>0</v>
      </c>
      <c r="AJ58" s="22">
        <v>0</v>
      </c>
      <c r="AK58" s="22">
        <v>0</v>
      </c>
      <c r="AL58" s="22">
        <v>0</v>
      </c>
      <c r="AM58" s="22">
        <v>0</v>
      </c>
      <c r="AN58" s="22">
        <v>0</v>
      </c>
      <c r="AO58" s="22">
        <v>0</v>
      </c>
      <c r="AP58" s="22">
        <v>0</v>
      </c>
      <c r="AQ58" s="22">
        <v>0</v>
      </c>
      <c r="AR58" s="22">
        <v>0</v>
      </c>
      <c r="AS58" s="22">
        <v>0</v>
      </c>
      <c r="AT58" s="22">
        <v>0</v>
      </c>
      <c r="AU58" s="19">
        <f t="shared" si="4"/>
        <v>5525</v>
      </c>
      <c r="AV58" s="22">
        <f>19995+880</f>
        <v>20875</v>
      </c>
      <c r="AW58" s="29" t="s">
        <v>54</v>
      </c>
      <c r="AX58" s="25">
        <v>45791</v>
      </c>
      <c r="AY58" s="15"/>
      <c r="AZ58" s="26"/>
      <c r="BA58" s="27">
        <f t="shared" si="5"/>
        <v>-880</v>
      </c>
      <c r="BB58" s="14"/>
      <c r="BC58" s="28"/>
    </row>
    <row r="59" spans="1:55" ht="42.6" x14ac:dyDescent="0.4">
      <c r="A59" s="15">
        <v>58</v>
      </c>
      <c r="B59" s="16">
        <v>8060</v>
      </c>
      <c r="C59" s="17" t="s">
        <v>141</v>
      </c>
      <c r="D59" s="16" t="s">
        <v>151</v>
      </c>
      <c r="E59" s="16" t="s">
        <v>152</v>
      </c>
      <c r="F59" s="16">
        <v>30</v>
      </c>
      <c r="G59" s="16">
        <v>30</v>
      </c>
      <c r="H59" s="18">
        <f t="shared" si="0"/>
        <v>0</v>
      </c>
      <c r="I59" s="19">
        <f t="shared" si="1"/>
        <v>0</v>
      </c>
      <c r="J59" s="16">
        <v>24</v>
      </c>
      <c r="K59" s="20">
        <v>12</v>
      </c>
      <c r="L59" s="21"/>
      <c r="M59" s="21"/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22">
        <v>24000</v>
      </c>
      <c r="T59" s="19">
        <f t="shared" si="2"/>
        <v>9600</v>
      </c>
      <c r="U59" s="19">
        <f t="shared" si="3"/>
        <v>14400</v>
      </c>
      <c r="V59" s="22">
        <v>4800</v>
      </c>
      <c r="W59" s="31">
        <v>9600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5000</v>
      </c>
      <c r="AG59" s="22">
        <v>0</v>
      </c>
      <c r="AH59" s="22">
        <v>0</v>
      </c>
      <c r="AI59" s="22">
        <v>0</v>
      </c>
      <c r="AJ59" s="22">
        <v>0</v>
      </c>
      <c r="AK59" s="22">
        <v>0</v>
      </c>
      <c r="AL59" s="22">
        <v>0</v>
      </c>
      <c r="AM59" s="22">
        <v>0</v>
      </c>
      <c r="AN59" s="22">
        <v>0</v>
      </c>
      <c r="AO59" s="22">
        <v>0</v>
      </c>
      <c r="AP59" s="22">
        <v>0</v>
      </c>
      <c r="AQ59" s="22">
        <v>0</v>
      </c>
      <c r="AR59" s="22">
        <v>0</v>
      </c>
      <c r="AS59" s="22">
        <v>0</v>
      </c>
      <c r="AT59" s="22">
        <v>0</v>
      </c>
      <c r="AU59" s="19">
        <f t="shared" si="4"/>
        <v>5000</v>
      </c>
      <c r="AV59" s="22">
        <f>8875+525</f>
        <v>9400</v>
      </c>
      <c r="AW59" s="24" t="s">
        <v>54</v>
      </c>
      <c r="AX59" s="25">
        <v>45789</v>
      </c>
      <c r="AY59" s="15"/>
      <c r="AZ59" s="26"/>
      <c r="BA59" s="27">
        <f t="shared" si="5"/>
        <v>0</v>
      </c>
      <c r="BB59" s="14"/>
      <c r="BC59" s="28"/>
    </row>
    <row r="60" spans="1:55" ht="56.4" x14ac:dyDescent="0.4">
      <c r="A60" s="15">
        <v>59</v>
      </c>
      <c r="B60" s="16">
        <v>80326</v>
      </c>
      <c r="C60" s="17" t="s">
        <v>141</v>
      </c>
      <c r="D60" s="16" t="s">
        <v>142</v>
      </c>
      <c r="E60" s="33" t="s">
        <v>153</v>
      </c>
      <c r="F60" s="16">
        <v>30</v>
      </c>
      <c r="G60" s="16">
        <v>15</v>
      </c>
      <c r="H60" s="18">
        <f t="shared" si="0"/>
        <v>15</v>
      </c>
      <c r="I60" s="19">
        <f t="shared" si="1"/>
        <v>12000</v>
      </c>
      <c r="J60" s="16">
        <v>10</v>
      </c>
      <c r="K60" s="20">
        <v>5</v>
      </c>
      <c r="L60" s="21"/>
      <c r="M60" s="21"/>
      <c r="N60" s="16">
        <v>0</v>
      </c>
      <c r="O60" s="16">
        <v>0</v>
      </c>
      <c r="P60" s="16">
        <v>0</v>
      </c>
      <c r="Q60" s="16">
        <v>0</v>
      </c>
      <c r="R60" s="16">
        <v>15</v>
      </c>
      <c r="S60" s="22">
        <v>24000</v>
      </c>
      <c r="T60" s="19">
        <f t="shared" si="2"/>
        <v>4000</v>
      </c>
      <c r="U60" s="19">
        <f t="shared" si="3"/>
        <v>8000</v>
      </c>
      <c r="V60" s="22">
        <v>4000</v>
      </c>
      <c r="W60" s="31">
        <v>4000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3985</v>
      </c>
      <c r="AD60" s="22">
        <v>0</v>
      </c>
      <c r="AE60" s="22">
        <v>0</v>
      </c>
      <c r="AF60" s="22">
        <v>2000</v>
      </c>
      <c r="AG60" s="22">
        <v>0</v>
      </c>
      <c r="AH60" s="22">
        <v>0</v>
      </c>
      <c r="AI60" s="22">
        <v>0</v>
      </c>
      <c r="AJ60" s="22">
        <v>0</v>
      </c>
      <c r="AK60" s="22">
        <v>0</v>
      </c>
      <c r="AL60" s="22">
        <v>0</v>
      </c>
      <c r="AM60" s="22">
        <v>0</v>
      </c>
      <c r="AN60" s="22">
        <v>0</v>
      </c>
      <c r="AO60" s="22">
        <v>0</v>
      </c>
      <c r="AP60" s="22">
        <v>0</v>
      </c>
      <c r="AQ60" s="22">
        <v>0</v>
      </c>
      <c r="AR60" s="22">
        <v>0</v>
      </c>
      <c r="AS60" s="22">
        <v>0</v>
      </c>
      <c r="AT60" s="22">
        <v>0</v>
      </c>
      <c r="AU60" s="19">
        <f t="shared" si="4"/>
        <v>5985</v>
      </c>
      <c r="AV60" s="22">
        <v>2015</v>
      </c>
      <c r="AW60" s="24"/>
      <c r="AX60" s="34"/>
      <c r="AY60" s="15"/>
      <c r="AZ60" s="26"/>
      <c r="BA60" s="27">
        <f t="shared" si="5"/>
        <v>0</v>
      </c>
      <c r="BB60" s="14"/>
      <c r="BC60" s="28"/>
    </row>
    <row r="61" spans="1:55" ht="28.8" x14ac:dyDescent="0.4">
      <c r="A61" s="15">
        <v>60</v>
      </c>
      <c r="B61" s="16">
        <v>80588</v>
      </c>
      <c r="C61" s="17" t="s">
        <v>141</v>
      </c>
      <c r="D61" s="16" t="s">
        <v>142</v>
      </c>
      <c r="E61" s="33" t="s">
        <v>154</v>
      </c>
      <c r="F61" s="16">
        <v>30</v>
      </c>
      <c r="G61" s="16">
        <v>6</v>
      </c>
      <c r="H61" s="18">
        <f t="shared" si="0"/>
        <v>24</v>
      </c>
      <c r="I61" s="19">
        <f t="shared" si="1"/>
        <v>19200</v>
      </c>
      <c r="J61" s="16">
        <v>0</v>
      </c>
      <c r="K61" s="20">
        <v>0</v>
      </c>
      <c r="L61" s="21"/>
      <c r="M61" s="21"/>
      <c r="N61" s="16">
        <v>0</v>
      </c>
      <c r="O61" s="16">
        <v>0</v>
      </c>
      <c r="P61" s="16">
        <v>0</v>
      </c>
      <c r="Q61" s="16">
        <v>0</v>
      </c>
      <c r="R61" s="16">
        <v>24</v>
      </c>
      <c r="S61" s="22">
        <v>24000</v>
      </c>
      <c r="T61" s="19">
        <f t="shared" si="2"/>
        <v>0</v>
      </c>
      <c r="U61" s="19">
        <f t="shared" si="3"/>
        <v>4800</v>
      </c>
      <c r="V61" s="22">
        <v>4800</v>
      </c>
      <c r="W61" s="31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  <c r="AH61" s="22">
        <v>0</v>
      </c>
      <c r="AI61" s="22">
        <v>0</v>
      </c>
      <c r="AJ61" s="22">
        <v>0</v>
      </c>
      <c r="AK61" s="22">
        <v>0</v>
      </c>
      <c r="AL61" s="22">
        <v>0</v>
      </c>
      <c r="AM61" s="22">
        <v>0</v>
      </c>
      <c r="AN61" s="22">
        <v>0</v>
      </c>
      <c r="AO61" s="22">
        <v>0</v>
      </c>
      <c r="AP61" s="22">
        <v>0</v>
      </c>
      <c r="AQ61" s="22">
        <v>0</v>
      </c>
      <c r="AR61" s="22">
        <v>0</v>
      </c>
      <c r="AS61" s="22">
        <v>0</v>
      </c>
      <c r="AT61" s="22">
        <v>0</v>
      </c>
      <c r="AU61" s="19">
        <f t="shared" si="4"/>
        <v>0</v>
      </c>
      <c r="AV61" s="22">
        <v>4800</v>
      </c>
      <c r="AW61" s="24"/>
      <c r="AX61" s="34"/>
      <c r="AY61" s="15"/>
      <c r="AZ61" s="26"/>
      <c r="BA61" s="27">
        <f t="shared" si="5"/>
        <v>0</v>
      </c>
      <c r="BB61" s="14"/>
      <c r="BC61" s="28"/>
    </row>
    <row r="62" spans="1:55" ht="42.6" x14ac:dyDescent="0.4">
      <c r="A62" s="15">
        <v>61</v>
      </c>
      <c r="B62" s="16">
        <v>80596</v>
      </c>
      <c r="C62" s="17" t="s">
        <v>141</v>
      </c>
      <c r="D62" s="16" t="s">
        <v>142</v>
      </c>
      <c r="E62" s="16" t="s">
        <v>155</v>
      </c>
      <c r="F62" s="16">
        <v>30</v>
      </c>
      <c r="G62" s="16">
        <v>21</v>
      </c>
      <c r="H62" s="18">
        <f t="shared" si="0"/>
        <v>9</v>
      </c>
      <c r="I62" s="19">
        <f t="shared" si="1"/>
        <v>7200</v>
      </c>
      <c r="J62" s="16">
        <v>0</v>
      </c>
      <c r="K62" s="20">
        <v>0</v>
      </c>
      <c r="L62" s="21"/>
      <c r="M62" s="21"/>
      <c r="N62" s="16">
        <v>0</v>
      </c>
      <c r="O62" s="16">
        <v>0</v>
      </c>
      <c r="P62" s="16">
        <v>0</v>
      </c>
      <c r="Q62" s="16">
        <v>0</v>
      </c>
      <c r="R62" s="16">
        <v>9</v>
      </c>
      <c r="S62" s="22">
        <v>24000</v>
      </c>
      <c r="T62" s="19">
        <f t="shared" si="2"/>
        <v>0</v>
      </c>
      <c r="U62" s="19">
        <f t="shared" si="3"/>
        <v>16800</v>
      </c>
      <c r="V62" s="22">
        <v>16800</v>
      </c>
      <c r="W62" s="31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525</v>
      </c>
      <c r="AD62" s="22">
        <v>0</v>
      </c>
      <c r="AE62" s="22">
        <v>0</v>
      </c>
      <c r="AF62" s="22">
        <v>0</v>
      </c>
      <c r="AG62" s="22">
        <v>0</v>
      </c>
      <c r="AH62" s="22">
        <v>0</v>
      </c>
      <c r="AI62" s="22">
        <v>0</v>
      </c>
      <c r="AJ62" s="22">
        <v>0</v>
      </c>
      <c r="AK62" s="22">
        <v>0</v>
      </c>
      <c r="AL62" s="22">
        <v>0</v>
      </c>
      <c r="AM62" s="22">
        <v>0</v>
      </c>
      <c r="AN62" s="22">
        <v>0</v>
      </c>
      <c r="AO62" s="22">
        <v>0</v>
      </c>
      <c r="AP62" s="22">
        <v>0</v>
      </c>
      <c r="AQ62" s="22">
        <v>0</v>
      </c>
      <c r="AR62" s="22">
        <v>0</v>
      </c>
      <c r="AS62" s="22">
        <v>0</v>
      </c>
      <c r="AT62" s="22">
        <v>0</v>
      </c>
      <c r="AU62" s="19">
        <f t="shared" si="4"/>
        <v>525</v>
      </c>
      <c r="AV62" s="22">
        <v>16275</v>
      </c>
      <c r="AW62" s="24" t="s">
        <v>54</v>
      </c>
      <c r="AX62" s="25">
        <v>45789</v>
      </c>
      <c r="AY62" s="15"/>
      <c r="AZ62" s="26"/>
      <c r="BA62" s="27">
        <f t="shared" si="5"/>
        <v>0</v>
      </c>
      <c r="BB62" s="14"/>
      <c r="BC62" s="28"/>
    </row>
    <row r="63" spans="1:55" ht="42.6" x14ac:dyDescent="0.4">
      <c r="A63" s="15">
        <v>62</v>
      </c>
      <c r="B63" s="16">
        <v>80653</v>
      </c>
      <c r="C63" s="17" t="s">
        <v>141</v>
      </c>
      <c r="D63" s="16" t="s">
        <v>142</v>
      </c>
      <c r="E63" s="16" t="s">
        <v>156</v>
      </c>
      <c r="F63" s="16">
        <v>30</v>
      </c>
      <c r="G63" s="16">
        <v>30</v>
      </c>
      <c r="H63" s="18">
        <f t="shared" si="0"/>
        <v>0</v>
      </c>
      <c r="I63" s="19">
        <f t="shared" si="1"/>
        <v>0</v>
      </c>
      <c r="J63" s="16">
        <v>0</v>
      </c>
      <c r="K63" s="20">
        <v>0</v>
      </c>
      <c r="L63" s="21"/>
      <c r="M63" s="21"/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22">
        <v>24000</v>
      </c>
      <c r="T63" s="19">
        <f t="shared" si="2"/>
        <v>0</v>
      </c>
      <c r="U63" s="19">
        <f t="shared" si="3"/>
        <v>24000</v>
      </c>
      <c r="V63" s="22">
        <v>24000</v>
      </c>
      <c r="W63" s="31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2413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J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Q63" s="22">
        <v>0</v>
      </c>
      <c r="AR63" s="22">
        <v>0</v>
      </c>
      <c r="AS63" s="22">
        <v>0</v>
      </c>
      <c r="AT63" s="22">
        <v>0</v>
      </c>
      <c r="AU63" s="19">
        <f t="shared" si="4"/>
        <v>2413</v>
      </c>
      <c r="AV63" s="22">
        <v>21587</v>
      </c>
      <c r="AW63" s="24" t="s">
        <v>54</v>
      </c>
      <c r="AX63" s="25">
        <v>45789</v>
      </c>
      <c r="AY63" s="15"/>
      <c r="AZ63" s="26"/>
      <c r="BA63" s="27">
        <f t="shared" si="5"/>
        <v>0</v>
      </c>
      <c r="BB63" s="14"/>
      <c r="BC63" s="28"/>
    </row>
    <row r="64" spans="1:55" ht="28.8" x14ac:dyDescent="0.4">
      <c r="A64" s="15">
        <v>63</v>
      </c>
      <c r="B64" s="16">
        <v>80815</v>
      </c>
      <c r="C64" s="17" t="s">
        <v>141</v>
      </c>
      <c r="D64" s="16" t="s">
        <v>142</v>
      </c>
      <c r="E64" s="16" t="s">
        <v>157</v>
      </c>
      <c r="F64" s="16">
        <v>30</v>
      </c>
      <c r="G64" s="16">
        <v>15</v>
      </c>
      <c r="H64" s="18">
        <f t="shared" si="0"/>
        <v>15</v>
      </c>
      <c r="I64" s="19">
        <f t="shared" si="1"/>
        <v>12500</v>
      </c>
      <c r="J64" s="16">
        <v>0</v>
      </c>
      <c r="K64" s="20">
        <v>0</v>
      </c>
      <c r="L64" s="21"/>
      <c r="M64" s="21"/>
      <c r="N64" s="16">
        <v>0</v>
      </c>
      <c r="O64" s="16">
        <v>0</v>
      </c>
      <c r="P64" s="16">
        <v>0</v>
      </c>
      <c r="Q64" s="16">
        <v>0</v>
      </c>
      <c r="R64" s="16">
        <v>15</v>
      </c>
      <c r="S64" s="22">
        <v>25000</v>
      </c>
      <c r="T64" s="19">
        <f t="shared" si="2"/>
        <v>0</v>
      </c>
      <c r="U64" s="19">
        <f t="shared" si="3"/>
        <v>12500</v>
      </c>
      <c r="V64" s="22">
        <v>12500</v>
      </c>
      <c r="W64" s="31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  <c r="AH64" s="22">
        <v>0</v>
      </c>
      <c r="AI64" s="22">
        <v>0</v>
      </c>
      <c r="AJ64" s="22">
        <v>0</v>
      </c>
      <c r="AK64" s="22">
        <v>0</v>
      </c>
      <c r="AL64" s="22">
        <v>0</v>
      </c>
      <c r="AM64" s="22">
        <v>0</v>
      </c>
      <c r="AN64" s="22">
        <v>0</v>
      </c>
      <c r="AO64" s="22">
        <v>0</v>
      </c>
      <c r="AP64" s="22">
        <v>0</v>
      </c>
      <c r="AQ64" s="22">
        <v>0</v>
      </c>
      <c r="AR64" s="22">
        <v>0</v>
      </c>
      <c r="AS64" s="22">
        <v>0</v>
      </c>
      <c r="AT64" s="22">
        <v>0</v>
      </c>
      <c r="AU64" s="19">
        <f t="shared" si="4"/>
        <v>0</v>
      </c>
      <c r="AV64" s="22">
        <v>12500</v>
      </c>
      <c r="AW64" s="24" t="s">
        <v>54</v>
      </c>
      <c r="AX64" s="25">
        <v>45789</v>
      </c>
      <c r="AY64" s="15"/>
      <c r="AZ64" s="26"/>
      <c r="BA64" s="27">
        <f t="shared" si="5"/>
        <v>0</v>
      </c>
      <c r="BB64" s="14"/>
      <c r="BC64" s="28"/>
    </row>
    <row r="65" spans="1:55" ht="28.8" x14ac:dyDescent="0.4">
      <c r="A65" s="15">
        <v>64</v>
      </c>
      <c r="B65" s="16">
        <v>80816</v>
      </c>
      <c r="C65" s="17" t="s">
        <v>141</v>
      </c>
      <c r="D65" s="16" t="s">
        <v>142</v>
      </c>
      <c r="E65" s="16" t="s">
        <v>158</v>
      </c>
      <c r="F65" s="16">
        <v>30</v>
      </c>
      <c r="G65" s="16">
        <v>8</v>
      </c>
      <c r="H65" s="18">
        <f t="shared" si="0"/>
        <v>22</v>
      </c>
      <c r="I65" s="19">
        <f t="shared" si="1"/>
        <v>22000</v>
      </c>
      <c r="J65" s="16">
        <v>0</v>
      </c>
      <c r="K65" s="20">
        <v>0</v>
      </c>
      <c r="L65" s="21"/>
      <c r="M65" s="21"/>
      <c r="N65" s="16">
        <v>0</v>
      </c>
      <c r="O65" s="16">
        <v>0</v>
      </c>
      <c r="P65" s="16">
        <v>0</v>
      </c>
      <c r="Q65" s="16">
        <v>0</v>
      </c>
      <c r="R65" s="16">
        <v>22</v>
      </c>
      <c r="S65" s="22">
        <v>30000</v>
      </c>
      <c r="T65" s="19">
        <f t="shared" si="2"/>
        <v>0</v>
      </c>
      <c r="U65" s="19">
        <f t="shared" si="3"/>
        <v>8000</v>
      </c>
      <c r="V65" s="22">
        <v>8000</v>
      </c>
      <c r="W65" s="31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  <c r="AH65" s="22">
        <v>0</v>
      </c>
      <c r="AI65" s="22">
        <v>0</v>
      </c>
      <c r="AJ65" s="22">
        <v>0</v>
      </c>
      <c r="AK65" s="22">
        <v>0</v>
      </c>
      <c r="AL65" s="22">
        <v>0</v>
      </c>
      <c r="AM65" s="22">
        <v>0</v>
      </c>
      <c r="AN65" s="22">
        <v>0</v>
      </c>
      <c r="AO65" s="22">
        <v>0</v>
      </c>
      <c r="AP65" s="22">
        <v>0</v>
      </c>
      <c r="AQ65" s="22">
        <v>0</v>
      </c>
      <c r="AR65" s="22">
        <v>0</v>
      </c>
      <c r="AS65" s="22">
        <v>0</v>
      </c>
      <c r="AT65" s="22">
        <v>0</v>
      </c>
      <c r="AU65" s="19">
        <f t="shared" si="4"/>
        <v>0</v>
      </c>
      <c r="AV65" s="22">
        <v>8000</v>
      </c>
      <c r="AW65" s="24" t="s">
        <v>54</v>
      </c>
      <c r="AX65" s="25">
        <v>45790</v>
      </c>
      <c r="AY65" s="15">
        <v>-900</v>
      </c>
      <c r="AZ65" s="26"/>
      <c r="BA65" s="27">
        <f t="shared" si="5"/>
        <v>0</v>
      </c>
      <c r="BB65" s="14"/>
      <c r="BC65" s="28"/>
    </row>
    <row r="66" spans="1:55" ht="28.8" x14ac:dyDescent="0.4">
      <c r="A66" s="15">
        <v>65</v>
      </c>
      <c r="B66" s="16">
        <v>8027</v>
      </c>
      <c r="C66" s="17" t="s">
        <v>159</v>
      </c>
      <c r="D66" s="16" t="s">
        <v>160</v>
      </c>
      <c r="E66" s="16" t="s">
        <v>161</v>
      </c>
      <c r="F66" s="16">
        <v>30</v>
      </c>
      <c r="G66" s="16">
        <v>30</v>
      </c>
      <c r="H66" s="18">
        <f t="shared" si="0"/>
        <v>0</v>
      </c>
      <c r="I66" s="19">
        <f t="shared" si="1"/>
        <v>0</v>
      </c>
      <c r="J66" s="16">
        <v>0</v>
      </c>
      <c r="K66" s="20">
        <v>0</v>
      </c>
      <c r="L66" s="21"/>
      <c r="M66" s="21"/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22">
        <v>60000</v>
      </c>
      <c r="T66" s="19">
        <f t="shared" si="2"/>
        <v>0</v>
      </c>
      <c r="U66" s="19">
        <f t="shared" si="3"/>
        <v>60000</v>
      </c>
      <c r="V66" s="22">
        <v>60000</v>
      </c>
      <c r="W66" s="31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  <c r="AH66" s="22">
        <v>0</v>
      </c>
      <c r="AI66" s="22">
        <v>0</v>
      </c>
      <c r="AJ66" s="22">
        <v>0</v>
      </c>
      <c r="AK66" s="22">
        <v>0</v>
      </c>
      <c r="AL66" s="22">
        <v>0</v>
      </c>
      <c r="AM66" s="22">
        <v>0</v>
      </c>
      <c r="AN66" s="22">
        <v>0</v>
      </c>
      <c r="AO66" s="22">
        <v>0</v>
      </c>
      <c r="AP66" s="22">
        <v>0</v>
      </c>
      <c r="AQ66" s="22">
        <v>0</v>
      </c>
      <c r="AR66" s="22">
        <v>0</v>
      </c>
      <c r="AS66" s="22">
        <v>0</v>
      </c>
      <c r="AT66" s="22">
        <v>0</v>
      </c>
      <c r="AU66" s="19">
        <f t="shared" si="4"/>
        <v>0</v>
      </c>
      <c r="AV66" s="22">
        <f>58876+1124</f>
        <v>60000</v>
      </c>
      <c r="AW66" s="24" t="s">
        <v>54</v>
      </c>
      <c r="AX66" s="25">
        <v>45789</v>
      </c>
      <c r="AY66" s="15" t="s">
        <v>162</v>
      </c>
      <c r="AZ66" s="26"/>
      <c r="BA66" s="27">
        <f t="shared" si="5"/>
        <v>0</v>
      </c>
      <c r="BB66" s="14"/>
      <c r="BC66" s="28"/>
    </row>
    <row r="67" spans="1:55" ht="28.8" x14ac:dyDescent="0.4">
      <c r="A67" s="15">
        <v>66</v>
      </c>
      <c r="B67" s="16">
        <v>80320</v>
      </c>
      <c r="C67" s="17" t="s">
        <v>159</v>
      </c>
      <c r="D67" s="16" t="s">
        <v>163</v>
      </c>
      <c r="E67" s="16" t="s">
        <v>164</v>
      </c>
      <c r="F67" s="16">
        <v>30</v>
      </c>
      <c r="G67" s="16">
        <v>30</v>
      </c>
      <c r="H67" s="18">
        <f t="shared" si="0"/>
        <v>0</v>
      </c>
      <c r="I67" s="19">
        <f t="shared" si="1"/>
        <v>0</v>
      </c>
      <c r="J67" s="16">
        <v>0</v>
      </c>
      <c r="K67" s="20">
        <v>0</v>
      </c>
      <c r="L67" s="21"/>
      <c r="M67" s="21"/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22">
        <v>25000</v>
      </c>
      <c r="T67" s="19">
        <f t="shared" si="2"/>
        <v>0</v>
      </c>
      <c r="U67" s="19">
        <f t="shared" si="3"/>
        <v>25000</v>
      </c>
      <c r="V67" s="22">
        <v>25000</v>
      </c>
      <c r="W67" s="31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4000</v>
      </c>
      <c r="AG67" s="22">
        <v>0</v>
      </c>
      <c r="AH67" s="22">
        <v>0</v>
      </c>
      <c r="AI67" s="22">
        <v>0</v>
      </c>
      <c r="AJ67" s="22">
        <v>0</v>
      </c>
      <c r="AK67" s="22">
        <v>0</v>
      </c>
      <c r="AL67" s="22">
        <v>0</v>
      </c>
      <c r="AM67" s="22">
        <v>0</v>
      </c>
      <c r="AN67" s="22">
        <v>0</v>
      </c>
      <c r="AO67" s="22">
        <v>0</v>
      </c>
      <c r="AP67" s="22">
        <v>0</v>
      </c>
      <c r="AQ67" s="22">
        <v>0</v>
      </c>
      <c r="AR67" s="22">
        <v>0</v>
      </c>
      <c r="AS67" s="22">
        <v>0</v>
      </c>
      <c r="AT67" s="22">
        <v>0</v>
      </c>
      <c r="AU67" s="19">
        <f t="shared" si="4"/>
        <v>4000</v>
      </c>
      <c r="AV67" s="22">
        <v>21000</v>
      </c>
      <c r="AW67" s="24" t="s">
        <v>54</v>
      </c>
      <c r="AX67" s="25">
        <v>45789</v>
      </c>
      <c r="AY67" s="15"/>
      <c r="AZ67" s="26"/>
      <c r="BA67" s="27">
        <f t="shared" si="5"/>
        <v>0</v>
      </c>
      <c r="BB67" s="14"/>
      <c r="BC67" s="28"/>
    </row>
    <row r="68" spans="1:55" ht="28.8" x14ac:dyDescent="0.4">
      <c r="A68" s="15">
        <v>67</v>
      </c>
      <c r="B68" s="16">
        <v>8042</v>
      </c>
      <c r="C68" s="17" t="s">
        <v>159</v>
      </c>
      <c r="D68" s="16" t="s">
        <v>163</v>
      </c>
      <c r="E68" s="16" t="s">
        <v>165</v>
      </c>
      <c r="F68" s="16">
        <v>30</v>
      </c>
      <c r="G68" s="16">
        <v>30</v>
      </c>
      <c r="H68" s="18">
        <f t="shared" si="0"/>
        <v>0</v>
      </c>
      <c r="I68" s="19">
        <f t="shared" si="1"/>
        <v>0</v>
      </c>
      <c r="J68" s="16">
        <v>0</v>
      </c>
      <c r="K68" s="20">
        <v>0</v>
      </c>
      <c r="L68" s="21"/>
      <c r="M68" s="21"/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22">
        <v>45000</v>
      </c>
      <c r="T68" s="19">
        <f t="shared" si="2"/>
        <v>0</v>
      </c>
      <c r="U68" s="19">
        <f t="shared" si="3"/>
        <v>45000</v>
      </c>
      <c r="V68" s="22">
        <v>45000</v>
      </c>
      <c r="W68" s="31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8000</v>
      </c>
      <c r="AG68" s="22">
        <v>0</v>
      </c>
      <c r="AH68" s="22">
        <v>0</v>
      </c>
      <c r="AI68" s="22">
        <v>0</v>
      </c>
      <c r="AJ68" s="22">
        <v>0</v>
      </c>
      <c r="AK68" s="22">
        <v>0</v>
      </c>
      <c r="AL68" s="22">
        <v>0</v>
      </c>
      <c r="AM68" s="22">
        <v>0</v>
      </c>
      <c r="AN68" s="22">
        <v>0</v>
      </c>
      <c r="AO68" s="22">
        <v>0</v>
      </c>
      <c r="AP68" s="22">
        <v>0</v>
      </c>
      <c r="AQ68" s="22">
        <v>0</v>
      </c>
      <c r="AR68" s="22">
        <v>0</v>
      </c>
      <c r="AS68" s="22">
        <v>0</v>
      </c>
      <c r="AT68" s="22">
        <v>0</v>
      </c>
      <c r="AU68" s="19">
        <f t="shared" si="4"/>
        <v>8000</v>
      </c>
      <c r="AV68" s="22">
        <v>37000</v>
      </c>
      <c r="AW68" s="24" t="s">
        <v>54</v>
      </c>
      <c r="AX68" s="25">
        <v>45789</v>
      </c>
      <c r="AY68" s="15"/>
      <c r="AZ68" s="26"/>
      <c r="BA68" s="27">
        <f t="shared" si="5"/>
        <v>0</v>
      </c>
      <c r="BB68" s="14"/>
      <c r="BC68" s="28"/>
    </row>
    <row r="69" spans="1:55" ht="28.8" x14ac:dyDescent="0.4">
      <c r="A69" s="15">
        <v>68</v>
      </c>
      <c r="B69" s="16">
        <v>21019</v>
      </c>
      <c r="C69" s="17" t="s">
        <v>159</v>
      </c>
      <c r="D69" s="16" t="s">
        <v>163</v>
      </c>
      <c r="E69" s="16" t="s">
        <v>166</v>
      </c>
      <c r="F69" s="16">
        <v>30</v>
      </c>
      <c r="G69" s="16">
        <v>12</v>
      </c>
      <c r="H69" s="18">
        <f t="shared" si="0"/>
        <v>18</v>
      </c>
      <c r="I69" s="19">
        <f t="shared" si="1"/>
        <v>15000</v>
      </c>
      <c r="J69" s="16">
        <v>0</v>
      </c>
      <c r="K69" s="20">
        <v>0</v>
      </c>
      <c r="L69" s="21"/>
      <c r="M69" s="21"/>
      <c r="N69" s="16">
        <v>0</v>
      </c>
      <c r="O69" s="16">
        <v>0</v>
      </c>
      <c r="P69" s="16">
        <v>0</v>
      </c>
      <c r="Q69" s="16">
        <v>1</v>
      </c>
      <c r="R69" s="16">
        <v>17</v>
      </c>
      <c r="S69" s="22">
        <v>25000</v>
      </c>
      <c r="T69" s="19">
        <f t="shared" si="2"/>
        <v>0</v>
      </c>
      <c r="U69" s="19">
        <f t="shared" si="3"/>
        <v>10000</v>
      </c>
      <c r="V69" s="22">
        <v>10000</v>
      </c>
      <c r="W69" s="31">
        <v>0</v>
      </c>
      <c r="X69" s="22">
        <v>0</v>
      </c>
      <c r="Y69" s="22">
        <v>0</v>
      </c>
      <c r="Z69" s="22">
        <v>2500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  <c r="AH69" s="22">
        <v>0</v>
      </c>
      <c r="AI69" s="22">
        <v>0</v>
      </c>
      <c r="AJ69" s="22">
        <v>0</v>
      </c>
      <c r="AK69" s="22">
        <v>0</v>
      </c>
      <c r="AL69" s="22">
        <v>0</v>
      </c>
      <c r="AM69" s="22">
        <v>0</v>
      </c>
      <c r="AN69" s="22">
        <v>0</v>
      </c>
      <c r="AO69" s="22">
        <v>0</v>
      </c>
      <c r="AP69" s="22">
        <v>0</v>
      </c>
      <c r="AQ69" s="22">
        <v>0</v>
      </c>
      <c r="AR69" s="22">
        <v>0</v>
      </c>
      <c r="AS69" s="22">
        <v>0</v>
      </c>
      <c r="AT69" s="22">
        <v>0</v>
      </c>
      <c r="AU69" s="19">
        <f t="shared" si="4"/>
        <v>2500</v>
      </c>
      <c r="AV69" s="22">
        <v>7500</v>
      </c>
      <c r="AW69" s="24" t="s">
        <v>54</v>
      </c>
      <c r="AX69" s="25">
        <v>45789</v>
      </c>
      <c r="AY69" s="15" t="s">
        <v>167</v>
      </c>
      <c r="AZ69" s="26"/>
      <c r="BA69" s="27">
        <f t="shared" si="5"/>
        <v>0</v>
      </c>
      <c r="BB69" s="14"/>
      <c r="BC69" s="28"/>
    </row>
    <row r="70" spans="1:55" ht="28.8" x14ac:dyDescent="0.4">
      <c r="A70" s="15">
        <v>69</v>
      </c>
      <c r="B70" s="16">
        <v>8057</v>
      </c>
      <c r="C70" s="17" t="s">
        <v>159</v>
      </c>
      <c r="D70" s="16" t="s">
        <v>163</v>
      </c>
      <c r="E70" s="16" t="s">
        <v>168</v>
      </c>
      <c r="F70" s="16">
        <v>30</v>
      </c>
      <c r="G70" s="16">
        <v>30</v>
      </c>
      <c r="H70" s="18">
        <f t="shared" si="0"/>
        <v>0</v>
      </c>
      <c r="I70" s="19">
        <f t="shared" si="1"/>
        <v>0</v>
      </c>
      <c r="J70" s="16">
        <v>0</v>
      </c>
      <c r="K70" s="20">
        <v>0</v>
      </c>
      <c r="L70" s="21"/>
      <c r="M70" s="21"/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22">
        <v>30000</v>
      </c>
      <c r="T70" s="19">
        <f t="shared" si="2"/>
        <v>0</v>
      </c>
      <c r="U70" s="19">
        <f t="shared" si="3"/>
        <v>30000</v>
      </c>
      <c r="V70" s="22">
        <v>30000</v>
      </c>
      <c r="W70" s="31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  <c r="AH70" s="22">
        <v>0</v>
      </c>
      <c r="AI70" s="22">
        <v>0</v>
      </c>
      <c r="AJ70" s="22">
        <v>0</v>
      </c>
      <c r="AK70" s="22">
        <v>0</v>
      </c>
      <c r="AL70" s="22">
        <v>0</v>
      </c>
      <c r="AM70" s="22">
        <v>0</v>
      </c>
      <c r="AN70" s="22">
        <v>0</v>
      </c>
      <c r="AO70" s="22">
        <v>0</v>
      </c>
      <c r="AP70" s="22">
        <v>0</v>
      </c>
      <c r="AQ70" s="22">
        <v>0</v>
      </c>
      <c r="AR70" s="22">
        <v>0</v>
      </c>
      <c r="AS70" s="22">
        <v>0</v>
      </c>
      <c r="AT70" s="22">
        <v>0</v>
      </c>
      <c r="AU70" s="19">
        <f t="shared" si="4"/>
        <v>0</v>
      </c>
      <c r="AV70" s="22">
        <v>30000</v>
      </c>
      <c r="AW70" s="24" t="s">
        <v>54</v>
      </c>
      <c r="AX70" s="25">
        <v>45790</v>
      </c>
      <c r="AY70" s="15"/>
      <c r="AZ70" s="26"/>
      <c r="BA70" s="27">
        <f t="shared" si="5"/>
        <v>0</v>
      </c>
      <c r="BB70" s="14"/>
      <c r="BC70" s="28"/>
    </row>
    <row r="71" spans="1:55" ht="28.8" x14ac:dyDescent="0.4">
      <c r="A71" s="15">
        <v>70</v>
      </c>
      <c r="B71" s="16">
        <v>80487</v>
      </c>
      <c r="C71" s="17" t="s">
        <v>159</v>
      </c>
      <c r="D71" s="16" t="s">
        <v>169</v>
      </c>
      <c r="E71" s="16" t="s">
        <v>170</v>
      </c>
      <c r="F71" s="16">
        <v>30</v>
      </c>
      <c r="G71" s="16">
        <v>30</v>
      </c>
      <c r="H71" s="18">
        <f t="shared" si="0"/>
        <v>0</v>
      </c>
      <c r="I71" s="19">
        <f t="shared" si="1"/>
        <v>0</v>
      </c>
      <c r="J71" s="16">
        <v>2</v>
      </c>
      <c r="K71" s="33">
        <v>1</v>
      </c>
      <c r="L71" s="21"/>
      <c r="M71" s="21"/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22">
        <v>25000</v>
      </c>
      <c r="T71" s="19">
        <f t="shared" si="2"/>
        <v>833.33333333333337</v>
      </c>
      <c r="U71" s="19">
        <f t="shared" si="3"/>
        <v>24999</v>
      </c>
      <c r="V71" s="22">
        <v>23333</v>
      </c>
      <c r="W71" s="31">
        <f>833+833</f>
        <v>1666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  <c r="AH71" s="22">
        <v>0</v>
      </c>
      <c r="AI71" s="22">
        <v>0</v>
      </c>
      <c r="AJ71" s="22">
        <v>0</v>
      </c>
      <c r="AK71" s="22">
        <v>0</v>
      </c>
      <c r="AL71" s="22">
        <v>0</v>
      </c>
      <c r="AM71" s="22">
        <v>0</v>
      </c>
      <c r="AN71" s="22">
        <v>0</v>
      </c>
      <c r="AO71" s="22">
        <v>0</v>
      </c>
      <c r="AP71" s="22">
        <v>0</v>
      </c>
      <c r="AQ71" s="22">
        <v>0</v>
      </c>
      <c r="AR71" s="22">
        <v>0</v>
      </c>
      <c r="AS71" s="22">
        <v>0</v>
      </c>
      <c r="AT71" s="22">
        <v>0</v>
      </c>
      <c r="AU71" s="19">
        <f t="shared" si="4"/>
        <v>0</v>
      </c>
      <c r="AV71" s="22">
        <f>24166.67+833</f>
        <v>24999.67</v>
      </c>
      <c r="AW71" s="29" t="s">
        <v>54</v>
      </c>
      <c r="AX71" s="25">
        <v>45789</v>
      </c>
      <c r="AY71" s="15"/>
      <c r="AZ71" s="26"/>
      <c r="BA71" s="27">
        <f t="shared" si="5"/>
        <v>-833.00333333333037</v>
      </c>
      <c r="BB71" s="14"/>
      <c r="BC71" s="28"/>
    </row>
    <row r="72" spans="1:55" ht="28.8" x14ac:dyDescent="0.4">
      <c r="A72" s="15">
        <v>71</v>
      </c>
      <c r="B72" s="16">
        <v>80553</v>
      </c>
      <c r="C72" s="17" t="s">
        <v>159</v>
      </c>
      <c r="D72" s="16" t="s">
        <v>125</v>
      </c>
      <c r="E72" s="16" t="s">
        <v>171</v>
      </c>
      <c r="F72" s="16">
        <v>30</v>
      </c>
      <c r="G72" s="16">
        <v>30</v>
      </c>
      <c r="H72" s="18">
        <f t="shared" si="0"/>
        <v>0</v>
      </c>
      <c r="I72" s="19">
        <f t="shared" si="1"/>
        <v>0</v>
      </c>
      <c r="J72" s="16">
        <v>0</v>
      </c>
      <c r="K72" s="20">
        <v>0</v>
      </c>
      <c r="L72" s="21"/>
      <c r="M72" s="21"/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22">
        <v>25000</v>
      </c>
      <c r="T72" s="19">
        <f t="shared" si="2"/>
        <v>0</v>
      </c>
      <c r="U72" s="19">
        <f t="shared" si="3"/>
        <v>25000</v>
      </c>
      <c r="V72" s="22">
        <v>25000</v>
      </c>
      <c r="W72" s="31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3000</v>
      </c>
      <c r="AG72" s="22">
        <v>0</v>
      </c>
      <c r="AH72" s="22">
        <v>0</v>
      </c>
      <c r="AI72" s="22">
        <v>0</v>
      </c>
      <c r="AJ72" s="22">
        <v>0</v>
      </c>
      <c r="AK72" s="22">
        <v>0</v>
      </c>
      <c r="AL72" s="22">
        <v>0</v>
      </c>
      <c r="AM72" s="22">
        <v>0</v>
      </c>
      <c r="AN72" s="22">
        <v>0</v>
      </c>
      <c r="AO72" s="22">
        <v>0</v>
      </c>
      <c r="AP72" s="22">
        <v>0</v>
      </c>
      <c r="AQ72" s="22">
        <v>0</v>
      </c>
      <c r="AR72" s="22">
        <v>0</v>
      </c>
      <c r="AS72" s="22">
        <v>0</v>
      </c>
      <c r="AT72" s="22">
        <v>0</v>
      </c>
      <c r="AU72" s="19">
        <f t="shared" si="4"/>
        <v>3000</v>
      </c>
      <c r="AV72" s="22">
        <v>22000</v>
      </c>
      <c r="AW72" s="24" t="s">
        <v>54</v>
      </c>
      <c r="AX72" s="25">
        <v>45789</v>
      </c>
      <c r="AY72" s="15"/>
      <c r="AZ72" s="26"/>
      <c r="BA72" s="27">
        <f t="shared" si="5"/>
        <v>0</v>
      </c>
      <c r="BB72" s="14"/>
      <c r="BC72" s="28"/>
    </row>
    <row r="73" spans="1:55" ht="42.6" x14ac:dyDescent="0.4">
      <c r="A73" s="15">
        <v>72</v>
      </c>
      <c r="B73" s="16">
        <v>80639</v>
      </c>
      <c r="C73" s="17" t="s">
        <v>159</v>
      </c>
      <c r="D73" s="16" t="s">
        <v>125</v>
      </c>
      <c r="E73" s="16" t="s">
        <v>172</v>
      </c>
      <c r="F73" s="16">
        <v>30</v>
      </c>
      <c r="G73" s="16">
        <v>29</v>
      </c>
      <c r="H73" s="18">
        <f t="shared" si="0"/>
        <v>1</v>
      </c>
      <c r="I73" s="19">
        <f t="shared" si="1"/>
        <v>1000</v>
      </c>
      <c r="J73" s="16">
        <v>5</v>
      </c>
      <c r="K73" s="20">
        <v>2</v>
      </c>
      <c r="L73" s="21"/>
      <c r="M73" s="21"/>
      <c r="N73" s="16">
        <v>0</v>
      </c>
      <c r="O73" s="16">
        <v>0</v>
      </c>
      <c r="P73" s="16">
        <v>1</v>
      </c>
      <c r="Q73" s="16">
        <v>0</v>
      </c>
      <c r="R73" s="16">
        <v>0</v>
      </c>
      <c r="S73" s="32">
        <v>30000</v>
      </c>
      <c r="T73" s="19">
        <f t="shared" si="2"/>
        <v>2000</v>
      </c>
      <c r="U73" s="19">
        <f t="shared" si="3"/>
        <v>27000</v>
      </c>
      <c r="V73" s="22">
        <v>24000</v>
      </c>
      <c r="W73" s="31">
        <v>3000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3000</v>
      </c>
      <c r="AG73" s="22">
        <v>0</v>
      </c>
      <c r="AH73" s="22">
        <v>0</v>
      </c>
      <c r="AI73" s="22">
        <v>0</v>
      </c>
      <c r="AJ73" s="22">
        <v>0</v>
      </c>
      <c r="AK73" s="22">
        <v>0</v>
      </c>
      <c r="AL73" s="22">
        <v>0</v>
      </c>
      <c r="AM73" s="22">
        <v>0</v>
      </c>
      <c r="AN73" s="22">
        <v>0</v>
      </c>
      <c r="AO73" s="22">
        <v>0</v>
      </c>
      <c r="AP73" s="22">
        <v>0</v>
      </c>
      <c r="AQ73" s="22">
        <v>0</v>
      </c>
      <c r="AR73" s="22">
        <v>0</v>
      </c>
      <c r="AS73" s="22">
        <v>0</v>
      </c>
      <c r="AT73" s="22">
        <v>0</v>
      </c>
      <c r="AU73" s="19">
        <f t="shared" si="4"/>
        <v>3000</v>
      </c>
      <c r="AV73" s="22">
        <v>24000</v>
      </c>
      <c r="AW73" s="24" t="s">
        <v>54</v>
      </c>
      <c r="AX73" s="25">
        <v>45789</v>
      </c>
      <c r="AY73" s="15"/>
      <c r="AZ73" s="26"/>
      <c r="BA73" s="27">
        <f t="shared" si="5"/>
        <v>0</v>
      </c>
      <c r="BB73" s="14"/>
      <c r="BC73" s="28"/>
    </row>
    <row r="74" spans="1:55" ht="28.8" x14ac:dyDescent="0.4">
      <c r="A74" s="15">
        <v>73</v>
      </c>
      <c r="B74" s="16">
        <v>80721</v>
      </c>
      <c r="C74" s="17" t="s">
        <v>159</v>
      </c>
      <c r="D74" s="16" t="s">
        <v>169</v>
      </c>
      <c r="E74" s="16" t="s">
        <v>173</v>
      </c>
      <c r="F74" s="16">
        <v>30</v>
      </c>
      <c r="G74" s="16">
        <v>30</v>
      </c>
      <c r="H74" s="18">
        <f t="shared" si="0"/>
        <v>0</v>
      </c>
      <c r="I74" s="19">
        <f t="shared" si="1"/>
        <v>0</v>
      </c>
      <c r="J74" s="16">
        <v>0</v>
      </c>
      <c r="K74" s="20">
        <v>0</v>
      </c>
      <c r="L74" s="21"/>
      <c r="M74" s="21"/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22">
        <v>25000</v>
      </c>
      <c r="T74" s="19">
        <f t="shared" si="2"/>
        <v>0</v>
      </c>
      <c r="U74" s="19">
        <f t="shared" si="3"/>
        <v>25000</v>
      </c>
      <c r="V74" s="22">
        <v>25000</v>
      </c>
      <c r="W74" s="31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4000</v>
      </c>
      <c r="AG74" s="22">
        <v>0</v>
      </c>
      <c r="AH74" s="22">
        <v>0</v>
      </c>
      <c r="AI74" s="22">
        <v>0</v>
      </c>
      <c r="AJ74" s="22">
        <v>0</v>
      </c>
      <c r="AK74" s="22">
        <v>0</v>
      </c>
      <c r="AL74" s="22">
        <v>0</v>
      </c>
      <c r="AM74" s="22">
        <v>0</v>
      </c>
      <c r="AN74" s="22">
        <v>0</v>
      </c>
      <c r="AO74" s="22">
        <v>0</v>
      </c>
      <c r="AP74" s="22">
        <v>0</v>
      </c>
      <c r="AQ74" s="22">
        <v>0</v>
      </c>
      <c r="AR74" s="22">
        <v>0</v>
      </c>
      <c r="AS74" s="22">
        <v>0</v>
      </c>
      <c r="AT74" s="22">
        <v>0</v>
      </c>
      <c r="AU74" s="19">
        <f t="shared" si="4"/>
        <v>4000</v>
      </c>
      <c r="AV74" s="22">
        <v>21000</v>
      </c>
      <c r="AW74" s="24" t="s">
        <v>54</v>
      </c>
      <c r="AX74" s="25">
        <v>45789</v>
      </c>
      <c r="AY74" s="15" t="s">
        <v>174</v>
      </c>
      <c r="AZ74" s="26"/>
      <c r="BA74" s="27">
        <f t="shared" si="5"/>
        <v>0</v>
      </c>
      <c r="BB74" s="14"/>
      <c r="BC74" s="28"/>
    </row>
    <row r="75" spans="1:55" ht="42.6" x14ac:dyDescent="0.4">
      <c r="A75" s="15">
        <v>74</v>
      </c>
      <c r="B75" s="16">
        <v>80762</v>
      </c>
      <c r="C75" s="17" t="s">
        <v>159</v>
      </c>
      <c r="D75" s="16" t="s">
        <v>125</v>
      </c>
      <c r="E75" s="16" t="s">
        <v>175</v>
      </c>
      <c r="F75" s="16">
        <v>30</v>
      </c>
      <c r="G75" s="16">
        <v>18</v>
      </c>
      <c r="H75" s="18">
        <f t="shared" si="0"/>
        <v>12</v>
      </c>
      <c r="I75" s="19">
        <f t="shared" si="1"/>
        <v>10000</v>
      </c>
      <c r="J75" s="16">
        <v>0</v>
      </c>
      <c r="K75" s="20">
        <v>0</v>
      </c>
      <c r="L75" s="21"/>
      <c r="M75" s="21"/>
      <c r="N75" s="16">
        <v>0</v>
      </c>
      <c r="O75" s="16">
        <v>0</v>
      </c>
      <c r="P75" s="16">
        <v>0</v>
      </c>
      <c r="Q75" s="16">
        <v>0</v>
      </c>
      <c r="R75" s="16">
        <v>12</v>
      </c>
      <c r="S75" s="22">
        <v>25000</v>
      </c>
      <c r="T75" s="19">
        <f t="shared" si="2"/>
        <v>0</v>
      </c>
      <c r="U75" s="19">
        <f t="shared" si="3"/>
        <v>15000</v>
      </c>
      <c r="V75" s="22">
        <v>15000</v>
      </c>
      <c r="W75" s="31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  <c r="AH75" s="22">
        <v>0</v>
      </c>
      <c r="AI75" s="22">
        <v>0</v>
      </c>
      <c r="AJ75" s="22">
        <v>0</v>
      </c>
      <c r="AK75" s="22">
        <v>0</v>
      </c>
      <c r="AL75" s="22">
        <v>0</v>
      </c>
      <c r="AM75" s="22">
        <v>0</v>
      </c>
      <c r="AN75" s="22">
        <v>0</v>
      </c>
      <c r="AO75" s="22">
        <v>0</v>
      </c>
      <c r="AP75" s="22">
        <v>0</v>
      </c>
      <c r="AQ75" s="22">
        <v>0</v>
      </c>
      <c r="AR75" s="22">
        <v>0</v>
      </c>
      <c r="AS75" s="22">
        <v>0</v>
      </c>
      <c r="AT75" s="22">
        <v>0</v>
      </c>
      <c r="AU75" s="19">
        <f t="shared" si="4"/>
        <v>0</v>
      </c>
      <c r="AV75" s="22">
        <v>15000</v>
      </c>
      <c r="AW75" s="24" t="s">
        <v>54</v>
      </c>
      <c r="AX75" s="25">
        <v>45790</v>
      </c>
      <c r="AY75" s="15"/>
      <c r="AZ75" s="26"/>
      <c r="BA75" s="27">
        <f t="shared" si="5"/>
        <v>0</v>
      </c>
      <c r="BB75" s="14"/>
      <c r="BC75" s="28"/>
    </row>
    <row r="76" spans="1:55" ht="28.8" x14ac:dyDescent="0.4">
      <c r="A76" s="15">
        <v>75</v>
      </c>
      <c r="B76" s="16">
        <v>80794</v>
      </c>
      <c r="C76" s="17" t="s">
        <v>159</v>
      </c>
      <c r="D76" s="16" t="s">
        <v>176</v>
      </c>
      <c r="E76" s="16" t="s">
        <v>177</v>
      </c>
      <c r="F76" s="16">
        <v>30</v>
      </c>
      <c r="G76" s="16">
        <v>13</v>
      </c>
      <c r="H76" s="18">
        <f t="shared" si="0"/>
        <v>17</v>
      </c>
      <c r="I76" s="19">
        <f t="shared" si="1"/>
        <v>8500</v>
      </c>
      <c r="J76" s="16">
        <v>0</v>
      </c>
      <c r="K76" s="20">
        <v>0</v>
      </c>
      <c r="L76" s="21"/>
      <c r="M76" s="21"/>
      <c r="N76" s="16">
        <v>0</v>
      </c>
      <c r="O76" s="16">
        <v>0</v>
      </c>
      <c r="P76" s="16">
        <v>0</v>
      </c>
      <c r="Q76" s="16">
        <v>0</v>
      </c>
      <c r="R76" s="16">
        <v>17</v>
      </c>
      <c r="S76" s="22">
        <v>15000</v>
      </c>
      <c r="T76" s="19">
        <f t="shared" si="2"/>
        <v>0</v>
      </c>
      <c r="U76" s="19">
        <f t="shared" si="3"/>
        <v>6500</v>
      </c>
      <c r="V76" s="22">
        <v>6500</v>
      </c>
      <c r="W76" s="31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  <c r="AH76" s="22">
        <v>0</v>
      </c>
      <c r="AI76" s="22">
        <v>0</v>
      </c>
      <c r="AJ76" s="22">
        <v>0</v>
      </c>
      <c r="AK76" s="22">
        <v>0</v>
      </c>
      <c r="AL76" s="22">
        <v>0</v>
      </c>
      <c r="AM76" s="22">
        <v>0</v>
      </c>
      <c r="AN76" s="22">
        <v>0</v>
      </c>
      <c r="AO76" s="22">
        <v>0</v>
      </c>
      <c r="AP76" s="22">
        <v>0</v>
      </c>
      <c r="AQ76" s="22">
        <v>0</v>
      </c>
      <c r="AR76" s="22">
        <v>0</v>
      </c>
      <c r="AS76" s="22">
        <v>0</v>
      </c>
      <c r="AT76" s="22">
        <v>0</v>
      </c>
      <c r="AU76" s="19">
        <f t="shared" si="4"/>
        <v>0</v>
      </c>
      <c r="AV76" s="22">
        <v>6500</v>
      </c>
      <c r="AW76" s="24" t="s">
        <v>54</v>
      </c>
      <c r="AX76" s="25">
        <v>45792</v>
      </c>
      <c r="AY76" s="15"/>
      <c r="AZ76" s="26"/>
      <c r="BA76" s="27">
        <f t="shared" si="5"/>
        <v>0</v>
      </c>
      <c r="BB76" s="14"/>
      <c r="BC76" s="28"/>
    </row>
    <row r="77" spans="1:55" ht="42.6" x14ac:dyDescent="0.4">
      <c r="A77" s="15">
        <v>76</v>
      </c>
      <c r="B77" s="16">
        <v>9022</v>
      </c>
      <c r="C77" s="17" t="s">
        <v>178</v>
      </c>
      <c r="D77" s="16" t="s">
        <v>179</v>
      </c>
      <c r="E77" s="16" t="s">
        <v>180</v>
      </c>
      <c r="F77" s="16">
        <v>30</v>
      </c>
      <c r="G77" s="16">
        <v>30</v>
      </c>
      <c r="H77" s="18">
        <f t="shared" si="0"/>
        <v>0</v>
      </c>
      <c r="I77" s="19">
        <f t="shared" si="1"/>
        <v>0</v>
      </c>
      <c r="J77" s="16">
        <v>0</v>
      </c>
      <c r="K77" s="20">
        <v>0</v>
      </c>
      <c r="L77" s="21"/>
      <c r="M77" s="21"/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22">
        <v>90000</v>
      </c>
      <c r="T77" s="19">
        <f t="shared" si="2"/>
        <v>0</v>
      </c>
      <c r="U77" s="19">
        <f t="shared" si="3"/>
        <v>90000</v>
      </c>
      <c r="V77" s="22">
        <v>90000</v>
      </c>
      <c r="W77" s="31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3352</v>
      </c>
      <c r="AD77" s="22">
        <v>0</v>
      </c>
      <c r="AE77" s="22">
        <v>0</v>
      </c>
      <c r="AF77" s="22">
        <v>5000</v>
      </c>
      <c r="AG77" s="22">
        <v>0</v>
      </c>
      <c r="AH77" s="22">
        <v>1000</v>
      </c>
      <c r="AI77" s="22">
        <v>0</v>
      </c>
      <c r="AJ77" s="22">
        <v>0</v>
      </c>
      <c r="AK77" s="22">
        <v>0</v>
      </c>
      <c r="AL77" s="22">
        <v>0</v>
      </c>
      <c r="AM77" s="22">
        <v>0</v>
      </c>
      <c r="AN77" s="22">
        <v>0</v>
      </c>
      <c r="AO77" s="22">
        <v>0</v>
      </c>
      <c r="AP77" s="22">
        <v>0</v>
      </c>
      <c r="AQ77" s="22">
        <v>0</v>
      </c>
      <c r="AR77" s="22">
        <v>0</v>
      </c>
      <c r="AS77" s="22">
        <v>0</v>
      </c>
      <c r="AT77" s="22">
        <v>0</v>
      </c>
      <c r="AU77" s="19">
        <f t="shared" si="4"/>
        <v>9352</v>
      </c>
      <c r="AV77" s="22">
        <v>80648</v>
      </c>
      <c r="AW77" s="24" t="s">
        <v>54</v>
      </c>
      <c r="AX77" s="25">
        <v>45790</v>
      </c>
      <c r="AY77" s="15"/>
      <c r="AZ77" s="26"/>
      <c r="BA77" s="27">
        <f t="shared" si="5"/>
        <v>0</v>
      </c>
      <c r="BB77" s="14"/>
      <c r="BC77" s="28"/>
    </row>
    <row r="78" spans="1:55" ht="28.8" x14ac:dyDescent="0.4">
      <c r="A78" s="15">
        <v>77</v>
      </c>
      <c r="B78" s="16">
        <v>9024</v>
      </c>
      <c r="C78" s="17" t="s">
        <v>178</v>
      </c>
      <c r="D78" s="16" t="s">
        <v>181</v>
      </c>
      <c r="E78" s="16" t="s">
        <v>182</v>
      </c>
      <c r="F78" s="16">
        <v>30</v>
      </c>
      <c r="G78" s="16">
        <v>25</v>
      </c>
      <c r="H78" s="18">
        <f t="shared" si="0"/>
        <v>5</v>
      </c>
      <c r="I78" s="19">
        <f t="shared" si="1"/>
        <v>8333.3333333333339</v>
      </c>
      <c r="J78" s="16">
        <v>0</v>
      </c>
      <c r="K78" s="20">
        <v>0</v>
      </c>
      <c r="L78" s="21"/>
      <c r="M78" s="21"/>
      <c r="N78" s="16">
        <v>0</v>
      </c>
      <c r="O78" s="16">
        <v>0</v>
      </c>
      <c r="P78" s="16">
        <v>0</v>
      </c>
      <c r="Q78" s="16">
        <v>0</v>
      </c>
      <c r="R78" s="16">
        <v>5</v>
      </c>
      <c r="S78" s="32">
        <v>50000</v>
      </c>
      <c r="T78" s="19">
        <f t="shared" si="2"/>
        <v>0</v>
      </c>
      <c r="U78" s="19">
        <f t="shared" si="3"/>
        <v>41667</v>
      </c>
      <c r="V78" s="22">
        <v>41667</v>
      </c>
      <c r="W78" s="31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525</v>
      </c>
      <c r="AD78" s="22">
        <v>0</v>
      </c>
      <c r="AE78" s="22">
        <v>0</v>
      </c>
      <c r="AF78" s="22">
        <v>5000</v>
      </c>
      <c r="AG78" s="22">
        <v>0</v>
      </c>
      <c r="AH78" s="22">
        <v>0</v>
      </c>
      <c r="AI78" s="22">
        <v>0</v>
      </c>
      <c r="AJ78" s="22">
        <v>0</v>
      </c>
      <c r="AK78" s="22">
        <v>0</v>
      </c>
      <c r="AL78" s="22">
        <v>0</v>
      </c>
      <c r="AM78" s="22">
        <v>0</v>
      </c>
      <c r="AN78" s="22">
        <v>0</v>
      </c>
      <c r="AO78" s="22">
        <v>0</v>
      </c>
      <c r="AP78" s="22">
        <v>0</v>
      </c>
      <c r="AQ78" s="22">
        <v>0</v>
      </c>
      <c r="AR78" s="22">
        <v>0</v>
      </c>
      <c r="AS78" s="22">
        <v>0</v>
      </c>
      <c r="AT78" s="22">
        <v>0</v>
      </c>
      <c r="AU78" s="19">
        <f t="shared" si="4"/>
        <v>5525</v>
      </c>
      <c r="AV78" s="22">
        <v>36141.67</v>
      </c>
      <c r="AW78" s="24" t="s">
        <v>54</v>
      </c>
      <c r="AX78" s="25">
        <v>45789</v>
      </c>
      <c r="AY78" s="15"/>
      <c r="AZ78" s="26"/>
      <c r="BA78" s="27">
        <f t="shared" si="5"/>
        <v>-3.3333333267364651E-3</v>
      </c>
      <c r="BB78" s="14"/>
      <c r="BC78" s="28"/>
    </row>
    <row r="79" spans="1:55" ht="28.8" x14ac:dyDescent="0.4">
      <c r="A79" s="15">
        <v>78</v>
      </c>
      <c r="B79" s="16">
        <v>9067</v>
      </c>
      <c r="C79" s="17" t="s">
        <v>178</v>
      </c>
      <c r="D79" s="16" t="s">
        <v>183</v>
      </c>
      <c r="E79" s="16" t="s">
        <v>184</v>
      </c>
      <c r="F79" s="16">
        <v>30</v>
      </c>
      <c r="G79" s="16">
        <v>30</v>
      </c>
      <c r="H79" s="18">
        <f t="shared" si="0"/>
        <v>0</v>
      </c>
      <c r="I79" s="19">
        <f t="shared" si="1"/>
        <v>0</v>
      </c>
      <c r="J79" s="16">
        <v>2</v>
      </c>
      <c r="K79" s="33">
        <v>1</v>
      </c>
      <c r="L79" s="21"/>
      <c r="M79" s="21"/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32">
        <v>27500</v>
      </c>
      <c r="T79" s="19">
        <f t="shared" si="2"/>
        <v>916.66666666666663</v>
      </c>
      <c r="U79" s="19">
        <f t="shared" si="3"/>
        <v>27501</v>
      </c>
      <c r="V79" s="22">
        <v>25667</v>
      </c>
      <c r="W79" s="31">
        <f>917+917</f>
        <v>1834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2000</v>
      </c>
      <c r="AE79" s="22">
        <v>0</v>
      </c>
      <c r="AF79" s="22">
        <v>5000</v>
      </c>
      <c r="AG79" s="22"/>
      <c r="AH79" s="22">
        <v>0</v>
      </c>
      <c r="AI79" s="22">
        <v>0</v>
      </c>
      <c r="AJ79" s="22">
        <v>0</v>
      </c>
      <c r="AK79" s="22">
        <v>0</v>
      </c>
      <c r="AL79" s="22">
        <v>0</v>
      </c>
      <c r="AM79" s="22">
        <v>0</v>
      </c>
      <c r="AN79" s="22">
        <v>0</v>
      </c>
      <c r="AO79" s="22">
        <v>0</v>
      </c>
      <c r="AP79" s="22">
        <v>0</v>
      </c>
      <c r="AQ79" s="22">
        <v>0</v>
      </c>
      <c r="AR79" s="22">
        <v>0</v>
      </c>
      <c r="AS79" s="22">
        <v>0</v>
      </c>
      <c r="AT79" s="22">
        <v>0</v>
      </c>
      <c r="AU79" s="19">
        <f t="shared" si="4"/>
        <v>7000</v>
      </c>
      <c r="AV79" s="22">
        <f>21058.33+525-2000+917</f>
        <v>20500.330000000002</v>
      </c>
      <c r="AW79" s="24" t="s">
        <v>54</v>
      </c>
      <c r="AX79" s="25">
        <v>45790</v>
      </c>
      <c r="AY79" s="15"/>
      <c r="AZ79" s="26"/>
      <c r="BA79" s="27">
        <f t="shared" si="5"/>
        <v>-916.99666666666963</v>
      </c>
      <c r="BB79" s="14"/>
      <c r="BC79" s="28"/>
    </row>
    <row r="80" spans="1:55" ht="28.8" x14ac:dyDescent="0.4">
      <c r="A80" s="15">
        <v>79</v>
      </c>
      <c r="B80" s="16">
        <v>9070</v>
      </c>
      <c r="C80" s="17" t="s">
        <v>178</v>
      </c>
      <c r="D80" s="16" t="s">
        <v>183</v>
      </c>
      <c r="E80" s="16" t="s">
        <v>185</v>
      </c>
      <c r="F80" s="16">
        <v>30</v>
      </c>
      <c r="G80" s="16">
        <v>30</v>
      </c>
      <c r="H80" s="18">
        <f t="shared" si="0"/>
        <v>0</v>
      </c>
      <c r="I80" s="19">
        <f t="shared" si="1"/>
        <v>0</v>
      </c>
      <c r="J80" s="16">
        <v>0</v>
      </c>
      <c r="K80" s="20">
        <v>0</v>
      </c>
      <c r="L80" s="21"/>
      <c r="M80" s="21"/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22">
        <v>35000</v>
      </c>
      <c r="T80" s="19">
        <f t="shared" si="2"/>
        <v>0</v>
      </c>
      <c r="U80" s="19">
        <f t="shared" si="3"/>
        <v>35000</v>
      </c>
      <c r="V80" s="22">
        <v>35000</v>
      </c>
      <c r="W80" s="31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198</v>
      </c>
      <c r="AD80" s="22">
        <v>2000</v>
      </c>
      <c r="AE80" s="22">
        <v>0</v>
      </c>
      <c r="AF80" s="22">
        <v>10000</v>
      </c>
      <c r="AG80" s="32"/>
      <c r="AH80" s="22">
        <v>0</v>
      </c>
      <c r="AI80" s="22">
        <v>0</v>
      </c>
      <c r="AJ80" s="22">
        <v>0</v>
      </c>
      <c r="AK80" s="22">
        <v>0</v>
      </c>
      <c r="AL80" s="22">
        <v>0</v>
      </c>
      <c r="AM80" s="22">
        <v>0</v>
      </c>
      <c r="AN80" s="22">
        <v>0</v>
      </c>
      <c r="AO80" s="22">
        <v>0</v>
      </c>
      <c r="AP80" s="22">
        <v>0</v>
      </c>
      <c r="AQ80" s="22">
        <v>0</v>
      </c>
      <c r="AR80" s="22">
        <v>0</v>
      </c>
      <c r="AS80" s="22">
        <v>0</v>
      </c>
      <c r="AT80" s="22">
        <v>0</v>
      </c>
      <c r="AU80" s="19">
        <f t="shared" si="4"/>
        <v>12198</v>
      </c>
      <c r="AV80" s="22">
        <f>24802-2000</f>
        <v>22802</v>
      </c>
      <c r="AW80" s="24" t="s">
        <v>54</v>
      </c>
      <c r="AX80" s="25">
        <v>45789</v>
      </c>
      <c r="AY80" s="15"/>
      <c r="AZ80" s="26"/>
      <c r="BA80" s="27">
        <f t="shared" si="5"/>
        <v>0</v>
      </c>
      <c r="BB80" s="14"/>
      <c r="BC80" s="28"/>
    </row>
    <row r="81" spans="1:55" ht="28.8" x14ac:dyDescent="0.4">
      <c r="A81" s="15">
        <v>80</v>
      </c>
      <c r="B81" s="16">
        <v>9077</v>
      </c>
      <c r="C81" s="17" t="s">
        <v>178</v>
      </c>
      <c r="D81" s="16" t="s">
        <v>183</v>
      </c>
      <c r="E81" s="16" t="s">
        <v>186</v>
      </c>
      <c r="F81" s="16">
        <v>30</v>
      </c>
      <c r="G81" s="16">
        <v>29</v>
      </c>
      <c r="H81" s="18">
        <f t="shared" si="0"/>
        <v>1</v>
      </c>
      <c r="I81" s="19">
        <f t="shared" si="1"/>
        <v>1000</v>
      </c>
      <c r="J81" s="16">
        <v>0</v>
      </c>
      <c r="K81" s="20">
        <v>0</v>
      </c>
      <c r="L81" s="21"/>
      <c r="M81" s="21"/>
      <c r="N81" s="16">
        <v>0</v>
      </c>
      <c r="O81" s="16">
        <v>0</v>
      </c>
      <c r="P81" s="16">
        <v>1</v>
      </c>
      <c r="Q81" s="16">
        <v>0</v>
      </c>
      <c r="R81" s="16">
        <v>0</v>
      </c>
      <c r="S81" s="22">
        <v>30000</v>
      </c>
      <c r="T81" s="19">
        <f t="shared" si="2"/>
        <v>0</v>
      </c>
      <c r="U81" s="19">
        <f t="shared" si="3"/>
        <v>29000</v>
      </c>
      <c r="V81" s="22">
        <v>29000</v>
      </c>
      <c r="W81" s="31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6000</v>
      </c>
      <c r="AG81" s="22">
        <v>0</v>
      </c>
      <c r="AH81" s="22">
        <v>0</v>
      </c>
      <c r="AI81" s="22">
        <v>0</v>
      </c>
      <c r="AJ81" s="22">
        <v>0</v>
      </c>
      <c r="AK81" s="22">
        <v>0</v>
      </c>
      <c r="AL81" s="22">
        <v>0</v>
      </c>
      <c r="AM81" s="22">
        <v>0</v>
      </c>
      <c r="AN81" s="22">
        <v>0</v>
      </c>
      <c r="AO81" s="22">
        <v>0</v>
      </c>
      <c r="AP81" s="22">
        <v>0</v>
      </c>
      <c r="AQ81" s="22">
        <v>0</v>
      </c>
      <c r="AR81" s="22">
        <v>0</v>
      </c>
      <c r="AS81" s="22">
        <v>0</v>
      </c>
      <c r="AT81" s="22">
        <v>0</v>
      </c>
      <c r="AU81" s="19">
        <f t="shared" si="4"/>
        <v>6000</v>
      </c>
      <c r="AV81" s="22">
        <v>23000</v>
      </c>
      <c r="AW81" s="24" t="s">
        <v>54</v>
      </c>
      <c r="AX81" s="25">
        <v>45790</v>
      </c>
      <c r="AY81" s="15"/>
      <c r="AZ81" s="26"/>
      <c r="BA81" s="27">
        <f t="shared" si="5"/>
        <v>0</v>
      </c>
      <c r="BB81" s="14"/>
      <c r="BC81" s="28"/>
    </row>
    <row r="82" spans="1:55" ht="28.8" x14ac:dyDescent="0.4">
      <c r="A82" s="15">
        <v>81</v>
      </c>
      <c r="B82" s="16">
        <v>9084</v>
      </c>
      <c r="C82" s="17" t="s">
        <v>178</v>
      </c>
      <c r="D82" s="16" t="s">
        <v>187</v>
      </c>
      <c r="E82" s="16" t="s">
        <v>188</v>
      </c>
      <c r="F82" s="16">
        <v>30</v>
      </c>
      <c r="G82" s="16">
        <v>29</v>
      </c>
      <c r="H82" s="18">
        <f t="shared" si="0"/>
        <v>1</v>
      </c>
      <c r="I82" s="19">
        <f t="shared" si="1"/>
        <v>833.33333333333337</v>
      </c>
      <c r="J82" s="16">
        <v>0</v>
      </c>
      <c r="K82" s="20">
        <v>0</v>
      </c>
      <c r="L82" s="21"/>
      <c r="M82" s="21"/>
      <c r="N82" s="16">
        <v>0</v>
      </c>
      <c r="O82" s="16">
        <v>0</v>
      </c>
      <c r="P82" s="16">
        <v>0</v>
      </c>
      <c r="Q82" s="16">
        <v>0</v>
      </c>
      <c r="R82" s="16">
        <v>1</v>
      </c>
      <c r="S82" s="22">
        <v>25000</v>
      </c>
      <c r="T82" s="19">
        <f t="shared" si="2"/>
        <v>0</v>
      </c>
      <c r="U82" s="19">
        <f t="shared" si="3"/>
        <v>24167</v>
      </c>
      <c r="V82" s="22">
        <v>24167</v>
      </c>
      <c r="W82" s="31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1666</v>
      </c>
      <c r="AD82" s="22">
        <v>5000</v>
      </c>
      <c r="AE82" s="22">
        <v>0</v>
      </c>
      <c r="AF82" s="22">
        <v>4000</v>
      </c>
      <c r="AG82" s="32"/>
      <c r="AH82" s="22">
        <v>0</v>
      </c>
      <c r="AI82" s="22">
        <v>0</v>
      </c>
      <c r="AJ82" s="22">
        <v>0</v>
      </c>
      <c r="AK82" s="22">
        <v>0</v>
      </c>
      <c r="AL82" s="22">
        <v>0</v>
      </c>
      <c r="AM82" s="22">
        <v>0</v>
      </c>
      <c r="AN82" s="22">
        <v>0</v>
      </c>
      <c r="AO82" s="22">
        <v>0</v>
      </c>
      <c r="AP82" s="22">
        <v>0</v>
      </c>
      <c r="AQ82" s="22">
        <v>0</v>
      </c>
      <c r="AR82" s="22">
        <v>0</v>
      </c>
      <c r="AS82" s="22">
        <v>0</v>
      </c>
      <c r="AT82" s="22">
        <v>0</v>
      </c>
      <c r="AU82" s="19">
        <f t="shared" si="4"/>
        <v>10666</v>
      </c>
      <c r="AV82" s="22">
        <f>18500.67-5000</f>
        <v>13500.669999999998</v>
      </c>
      <c r="AW82" s="24" t="s">
        <v>54</v>
      </c>
      <c r="AX82" s="25">
        <v>45789</v>
      </c>
      <c r="AY82" s="15"/>
      <c r="AZ82" s="26"/>
      <c r="BA82" s="27">
        <f t="shared" si="5"/>
        <v>-3.3333333303744439E-3</v>
      </c>
      <c r="BB82" s="14"/>
      <c r="BC82" s="28"/>
    </row>
    <row r="83" spans="1:55" ht="28.8" x14ac:dyDescent="0.4">
      <c r="A83" s="15">
        <v>82</v>
      </c>
      <c r="B83" s="16">
        <v>9085</v>
      </c>
      <c r="C83" s="17" t="s">
        <v>178</v>
      </c>
      <c r="D83" s="16" t="s">
        <v>187</v>
      </c>
      <c r="E83" s="16" t="s">
        <v>189</v>
      </c>
      <c r="F83" s="16">
        <v>30</v>
      </c>
      <c r="G83" s="16">
        <v>29</v>
      </c>
      <c r="H83" s="18">
        <f t="shared" si="0"/>
        <v>1</v>
      </c>
      <c r="I83" s="19">
        <f t="shared" si="1"/>
        <v>1000</v>
      </c>
      <c r="J83" s="16">
        <v>0</v>
      </c>
      <c r="K83" s="20">
        <v>0</v>
      </c>
      <c r="L83" s="21"/>
      <c r="M83" s="21"/>
      <c r="N83" s="16">
        <v>0</v>
      </c>
      <c r="O83" s="16">
        <v>0</v>
      </c>
      <c r="P83" s="16">
        <v>0</v>
      </c>
      <c r="Q83" s="16">
        <v>0</v>
      </c>
      <c r="R83" s="16">
        <v>1</v>
      </c>
      <c r="S83" s="22">
        <v>30000</v>
      </c>
      <c r="T83" s="19">
        <f t="shared" si="2"/>
        <v>0</v>
      </c>
      <c r="U83" s="19">
        <f t="shared" si="3"/>
        <v>29000</v>
      </c>
      <c r="V83" s="22">
        <v>29000</v>
      </c>
      <c r="W83" s="31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525</v>
      </c>
      <c r="AD83" s="22">
        <v>2000</v>
      </c>
      <c r="AE83" s="22">
        <v>0</v>
      </c>
      <c r="AF83" s="22">
        <v>5000</v>
      </c>
      <c r="AG83" s="32"/>
      <c r="AH83" s="22">
        <v>0</v>
      </c>
      <c r="AI83" s="22">
        <v>0</v>
      </c>
      <c r="AJ83" s="22">
        <v>0</v>
      </c>
      <c r="AK83" s="22">
        <v>0</v>
      </c>
      <c r="AL83" s="22">
        <v>0</v>
      </c>
      <c r="AM83" s="22">
        <v>0</v>
      </c>
      <c r="AN83" s="22">
        <v>0</v>
      </c>
      <c r="AO83" s="22">
        <v>0</v>
      </c>
      <c r="AP83" s="22">
        <v>0</v>
      </c>
      <c r="AQ83" s="22">
        <v>0</v>
      </c>
      <c r="AR83" s="22">
        <v>0</v>
      </c>
      <c r="AS83" s="22">
        <v>0</v>
      </c>
      <c r="AT83" s="22">
        <v>0</v>
      </c>
      <c r="AU83" s="19">
        <f t="shared" si="4"/>
        <v>7525</v>
      </c>
      <c r="AV83" s="22">
        <f>23475-2000</f>
        <v>21475</v>
      </c>
      <c r="AW83" s="24" t="s">
        <v>54</v>
      </c>
      <c r="AX83" s="25">
        <v>45790</v>
      </c>
      <c r="AY83" s="15"/>
      <c r="AZ83" s="26"/>
      <c r="BA83" s="27">
        <f t="shared" si="5"/>
        <v>0</v>
      </c>
      <c r="BB83" s="14"/>
      <c r="BC83" s="28"/>
    </row>
    <row r="84" spans="1:55" ht="42.6" x14ac:dyDescent="0.4">
      <c r="A84" s="15">
        <v>83</v>
      </c>
      <c r="B84" s="16">
        <v>9089</v>
      </c>
      <c r="C84" s="17" t="s">
        <v>178</v>
      </c>
      <c r="D84" s="16" t="s">
        <v>190</v>
      </c>
      <c r="E84" s="16" t="s">
        <v>191</v>
      </c>
      <c r="F84" s="16">
        <v>30</v>
      </c>
      <c r="G84" s="16">
        <v>30</v>
      </c>
      <c r="H84" s="18">
        <f t="shared" si="0"/>
        <v>0</v>
      </c>
      <c r="I84" s="19">
        <f t="shared" si="1"/>
        <v>0</v>
      </c>
      <c r="J84" s="16">
        <v>0</v>
      </c>
      <c r="K84" s="20">
        <v>0</v>
      </c>
      <c r="L84" s="21"/>
      <c r="M84" s="21"/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22">
        <v>22000</v>
      </c>
      <c r="T84" s="19">
        <f t="shared" si="2"/>
        <v>0</v>
      </c>
      <c r="U84" s="19">
        <f t="shared" si="3"/>
        <v>22000</v>
      </c>
      <c r="V84" s="22">
        <v>22000</v>
      </c>
      <c r="W84" s="31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5000</v>
      </c>
      <c r="AE84" s="22">
        <v>0</v>
      </c>
      <c r="AF84" s="22">
        <v>0</v>
      </c>
      <c r="AG84" s="32"/>
      <c r="AH84" s="22">
        <v>0</v>
      </c>
      <c r="AI84" s="22">
        <v>0</v>
      </c>
      <c r="AJ84" s="22">
        <v>0</v>
      </c>
      <c r="AK84" s="22">
        <v>0</v>
      </c>
      <c r="AL84" s="22">
        <v>0</v>
      </c>
      <c r="AM84" s="22">
        <v>0</v>
      </c>
      <c r="AN84" s="22">
        <v>0</v>
      </c>
      <c r="AO84" s="22">
        <v>0</v>
      </c>
      <c r="AP84" s="22">
        <v>0</v>
      </c>
      <c r="AQ84" s="22">
        <v>0</v>
      </c>
      <c r="AR84" s="22">
        <v>0</v>
      </c>
      <c r="AS84" s="22">
        <v>0</v>
      </c>
      <c r="AT84" s="22">
        <v>0</v>
      </c>
      <c r="AU84" s="19">
        <f t="shared" si="4"/>
        <v>5000</v>
      </c>
      <c r="AV84" s="22">
        <f>22000-5000</f>
        <v>17000</v>
      </c>
      <c r="AW84" s="24" t="s">
        <v>54</v>
      </c>
      <c r="AX84" s="25">
        <v>45789</v>
      </c>
      <c r="AY84" s="15"/>
      <c r="AZ84" s="26"/>
      <c r="BA84" s="27">
        <f t="shared" si="5"/>
        <v>0</v>
      </c>
      <c r="BB84" s="14"/>
      <c r="BC84" s="28"/>
    </row>
    <row r="85" spans="1:55" ht="42.6" x14ac:dyDescent="0.4">
      <c r="A85" s="15">
        <v>84</v>
      </c>
      <c r="B85" s="16">
        <v>9091</v>
      </c>
      <c r="C85" s="17" t="s">
        <v>178</v>
      </c>
      <c r="D85" s="16" t="s">
        <v>190</v>
      </c>
      <c r="E85" s="16" t="s">
        <v>192</v>
      </c>
      <c r="F85" s="16">
        <v>30</v>
      </c>
      <c r="G85" s="16">
        <v>30</v>
      </c>
      <c r="H85" s="18">
        <f t="shared" si="0"/>
        <v>0</v>
      </c>
      <c r="I85" s="19">
        <f t="shared" si="1"/>
        <v>0</v>
      </c>
      <c r="J85" s="16">
        <v>1</v>
      </c>
      <c r="K85" s="20">
        <v>0</v>
      </c>
      <c r="L85" s="21"/>
      <c r="M85" s="21"/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32">
        <v>30000</v>
      </c>
      <c r="T85" s="19">
        <f t="shared" si="2"/>
        <v>0</v>
      </c>
      <c r="U85" s="19">
        <f t="shared" si="3"/>
        <v>30000</v>
      </c>
      <c r="V85" s="22">
        <v>29000</v>
      </c>
      <c r="W85" s="31">
        <v>1000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5000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19">
        <f t="shared" si="4"/>
        <v>5000</v>
      </c>
      <c r="AV85" s="22">
        <v>25000</v>
      </c>
      <c r="AW85" s="24" t="s">
        <v>54</v>
      </c>
      <c r="AX85" s="25">
        <v>45789</v>
      </c>
      <c r="AY85" s="15"/>
      <c r="AZ85" s="26"/>
      <c r="BA85" s="27">
        <f t="shared" si="5"/>
        <v>0</v>
      </c>
      <c r="BB85" s="14"/>
      <c r="BC85" s="28"/>
    </row>
    <row r="86" spans="1:55" ht="42.6" x14ac:dyDescent="0.4">
      <c r="A86" s="15">
        <v>85</v>
      </c>
      <c r="B86" s="16">
        <v>80364</v>
      </c>
      <c r="C86" s="17" t="s">
        <v>178</v>
      </c>
      <c r="D86" s="16" t="s">
        <v>190</v>
      </c>
      <c r="E86" s="16" t="s">
        <v>193</v>
      </c>
      <c r="F86" s="16">
        <v>30</v>
      </c>
      <c r="G86" s="16">
        <v>30</v>
      </c>
      <c r="H86" s="18">
        <f t="shared" si="0"/>
        <v>0</v>
      </c>
      <c r="I86" s="19">
        <f t="shared" si="1"/>
        <v>0</v>
      </c>
      <c r="J86" s="16">
        <v>0</v>
      </c>
      <c r="K86" s="20">
        <v>0</v>
      </c>
      <c r="L86" s="21"/>
      <c r="M86" s="21"/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22">
        <v>22000</v>
      </c>
      <c r="T86" s="19">
        <f t="shared" si="2"/>
        <v>0</v>
      </c>
      <c r="U86" s="19">
        <f t="shared" si="3"/>
        <v>22000</v>
      </c>
      <c r="V86" s="22">
        <v>22000</v>
      </c>
      <c r="W86" s="31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4000</v>
      </c>
      <c r="AG86" s="22">
        <v>0</v>
      </c>
      <c r="AH86" s="22">
        <v>0</v>
      </c>
      <c r="AI86" s="22">
        <v>0</v>
      </c>
      <c r="AJ86" s="22">
        <v>0</v>
      </c>
      <c r="AK86" s="22">
        <v>0</v>
      </c>
      <c r="AL86" s="22">
        <v>0</v>
      </c>
      <c r="AM86" s="22">
        <v>0</v>
      </c>
      <c r="AN86" s="22">
        <v>0</v>
      </c>
      <c r="AO86" s="22">
        <v>0</v>
      </c>
      <c r="AP86" s="22">
        <v>0</v>
      </c>
      <c r="AQ86" s="22">
        <v>0</v>
      </c>
      <c r="AR86" s="22">
        <v>0</v>
      </c>
      <c r="AS86" s="22">
        <v>0</v>
      </c>
      <c r="AT86" s="22">
        <v>0</v>
      </c>
      <c r="AU86" s="19">
        <f t="shared" si="4"/>
        <v>4000</v>
      </c>
      <c r="AV86" s="22">
        <v>18000</v>
      </c>
      <c r="AW86" s="24" t="s">
        <v>54</v>
      </c>
      <c r="AX86" s="25">
        <v>45789</v>
      </c>
      <c r="AY86" s="15"/>
      <c r="AZ86" s="26"/>
      <c r="BA86" s="27">
        <f t="shared" si="5"/>
        <v>0</v>
      </c>
      <c r="BB86" s="14"/>
      <c r="BC86" s="28"/>
    </row>
    <row r="87" spans="1:55" ht="28.8" x14ac:dyDescent="0.4">
      <c r="A87" s="15">
        <v>86</v>
      </c>
      <c r="B87" s="16">
        <v>80442</v>
      </c>
      <c r="C87" s="17" t="s">
        <v>178</v>
      </c>
      <c r="D87" s="16" t="s">
        <v>194</v>
      </c>
      <c r="E87" s="16" t="s">
        <v>195</v>
      </c>
      <c r="F87" s="16">
        <v>30</v>
      </c>
      <c r="G87" s="16">
        <v>29</v>
      </c>
      <c r="H87" s="18">
        <f t="shared" si="0"/>
        <v>1</v>
      </c>
      <c r="I87" s="19">
        <f t="shared" si="1"/>
        <v>1000</v>
      </c>
      <c r="J87" s="16">
        <v>0</v>
      </c>
      <c r="K87" s="20">
        <v>0</v>
      </c>
      <c r="L87" s="21"/>
      <c r="M87" s="21"/>
      <c r="N87" s="16">
        <v>0</v>
      </c>
      <c r="O87" s="16">
        <v>0</v>
      </c>
      <c r="P87" s="16">
        <v>0</v>
      </c>
      <c r="Q87" s="16">
        <v>0</v>
      </c>
      <c r="R87" s="16">
        <v>1</v>
      </c>
      <c r="S87" s="32">
        <v>30000</v>
      </c>
      <c r="T87" s="19">
        <f t="shared" si="2"/>
        <v>0</v>
      </c>
      <c r="U87" s="19">
        <f t="shared" si="3"/>
        <v>29000</v>
      </c>
      <c r="V87" s="22">
        <v>29000</v>
      </c>
      <c r="W87" s="31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  <c r="AH87" s="22">
        <v>0</v>
      </c>
      <c r="AI87" s="22">
        <v>0</v>
      </c>
      <c r="AJ87" s="22">
        <v>0</v>
      </c>
      <c r="AK87" s="22">
        <v>0</v>
      </c>
      <c r="AL87" s="22">
        <v>0</v>
      </c>
      <c r="AM87" s="22">
        <v>0</v>
      </c>
      <c r="AN87" s="22">
        <v>0</v>
      </c>
      <c r="AO87" s="22">
        <v>0</v>
      </c>
      <c r="AP87" s="22">
        <v>0</v>
      </c>
      <c r="AQ87" s="22">
        <v>0</v>
      </c>
      <c r="AR87" s="22">
        <v>0</v>
      </c>
      <c r="AS87" s="22">
        <v>0</v>
      </c>
      <c r="AT87" s="22">
        <v>0</v>
      </c>
      <c r="AU87" s="19">
        <f t="shared" si="4"/>
        <v>0</v>
      </c>
      <c r="AV87" s="22">
        <v>29000</v>
      </c>
      <c r="AW87" s="24" t="s">
        <v>54</v>
      </c>
      <c r="AX87" s="25">
        <v>45789</v>
      </c>
      <c r="AY87" s="15"/>
      <c r="AZ87" s="26"/>
      <c r="BA87" s="27">
        <f t="shared" si="5"/>
        <v>0</v>
      </c>
      <c r="BB87" s="14"/>
      <c r="BC87" s="28"/>
    </row>
    <row r="88" spans="1:55" ht="28.8" x14ac:dyDescent="0.4">
      <c r="A88" s="15">
        <v>87</v>
      </c>
      <c r="B88" s="16">
        <v>80525</v>
      </c>
      <c r="C88" s="17" t="s">
        <v>178</v>
      </c>
      <c r="D88" s="16" t="s">
        <v>125</v>
      </c>
      <c r="E88" s="16" t="s">
        <v>196</v>
      </c>
      <c r="F88" s="16">
        <v>30</v>
      </c>
      <c r="G88" s="16">
        <v>29</v>
      </c>
      <c r="H88" s="18">
        <f t="shared" si="0"/>
        <v>1</v>
      </c>
      <c r="I88" s="19">
        <f t="shared" si="1"/>
        <v>833.33333333333337</v>
      </c>
      <c r="J88" s="16">
        <v>0</v>
      </c>
      <c r="K88" s="20">
        <v>0</v>
      </c>
      <c r="L88" s="21"/>
      <c r="M88" s="21"/>
      <c r="N88" s="16">
        <v>0</v>
      </c>
      <c r="O88" s="16">
        <v>0</v>
      </c>
      <c r="P88" s="16">
        <v>1</v>
      </c>
      <c r="Q88" s="16">
        <v>0</v>
      </c>
      <c r="R88" s="16">
        <v>0</v>
      </c>
      <c r="S88" s="22">
        <v>25000</v>
      </c>
      <c r="T88" s="19">
        <f t="shared" si="2"/>
        <v>0</v>
      </c>
      <c r="U88" s="19">
        <f t="shared" si="3"/>
        <v>24167</v>
      </c>
      <c r="V88" s="22">
        <v>24167</v>
      </c>
      <c r="W88" s="31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  <c r="AH88" s="22">
        <v>0</v>
      </c>
      <c r="AI88" s="22">
        <v>0</v>
      </c>
      <c r="AJ88" s="22">
        <v>0</v>
      </c>
      <c r="AK88" s="22">
        <v>0</v>
      </c>
      <c r="AL88" s="22">
        <v>0</v>
      </c>
      <c r="AM88" s="22">
        <v>0</v>
      </c>
      <c r="AN88" s="22">
        <v>0</v>
      </c>
      <c r="AO88" s="22">
        <v>0</v>
      </c>
      <c r="AP88" s="22">
        <v>0</v>
      </c>
      <c r="AQ88" s="22">
        <v>0</v>
      </c>
      <c r="AR88" s="22">
        <v>0</v>
      </c>
      <c r="AS88" s="22">
        <v>0</v>
      </c>
      <c r="AT88" s="22">
        <v>0</v>
      </c>
      <c r="AU88" s="19">
        <f t="shared" si="4"/>
        <v>0</v>
      </c>
      <c r="AV88" s="22">
        <v>24166.67</v>
      </c>
      <c r="AW88" s="24" t="s">
        <v>54</v>
      </c>
      <c r="AX88" s="25">
        <v>45789</v>
      </c>
      <c r="AY88" s="15"/>
      <c r="AZ88" s="26"/>
      <c r="BA88" s="27">
        <f t="shared" si="5"/>
        <v>-3.3333333303744439E-3</v>
      </c>
      <c r="BB88" s="14"/>
      <c r="BC88" s="28"/>
    </row>
    <row r="89" spans="1:55" ht="21" x14ac:dyDescent="0.4">
      <c r="A89" s="15">
        <v>88</v>
      </c>
      <c r="B89" s="16">
        <v>80529</v>
      </c>
      <c r="C89" s="17" t="s">
        <v>178</v>
      </c>
      <c r="D89" s="16" t="s">
        <v>125</v>
      </c>
      <c r="E89" s="16" t="s">
        <v>197</v>
      </c>
      <c r="F89" s="16">
        <v>30</v>
      </c>
      <c r="G89" s="16">
        <v>20</v>
      </c>
      <c r="H89" s="18">
        <f t="shared" si="0"/>
        <v>10</v>
      </c>
      <c r="I89" s="19">
        <f t="shared" si="1"/>
        <v>7666.6666666666661</v>
      </c>
      <c r="J89" s="16">
        <v>0</v>
      </c>
      <c r="K89" s="20">
        <v>0</v>
      </c>
      <c r="L89" s="21"/>
      <c r="M89" s="21"/>
      <c r="N89" s="16">
        <v>0</v>
      </c>
      <c r="O89" s="16">
        <v>0</v>
      </c>
      <c r="P89" s="16">
        <v>0</v>
      </c>
      <c r="Q89" s="16">
        <v>0</v>
      </c>
      <c r="R89" s="16">
        <v>10</v>
      </c>
      <c r="S89" s="22">
        <v>23000</v>
      </c>
      <c r="T89" s="19">
        <f t="shared" si="2"/>
        <v>0</v>
      </c>
      <c r="U89" s="19">
        <f t="shared" si="3"/>
        <v>15333</v>
      </c>
      <c r="V89" s="22">
        <v>15333</v>
      </c>
      <c r="W89" s="31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1000</v>
      </c>
      <c r="AG89" s="22">
        <v>0</v>
      </c>
      <c r="AH89" s="22">
        <v>0</v>
      </c>
      <c r="AI89" s="22">
        <v>0</v>
      </c>
      <c r="AJ89" s="22">
        <v>0</v>
      </c>
      <c r="AK89" s="22">
        <v>0</v>
      </c>
      <c r="AL89" s="22">
        <v>0</v>
      </c>
      <c r="AM89" s="22">
        <v>0</v>
      </c>
      <c r="AN89" s="22">
        <v>0</v>
      </c>
      <c r="AO89" s="22">
        <v>0</v>
      </c>
      <c r="AP89" s="22">
        <v>0</v>
      </c>
      <c r="AQ89" s="22">
        <v>0</v>
      </c>
      <c r="AR89" s="22">
        <v>0</v>
      </c>
      <c r="AS89" s="22">
        <v>0</v>
      </c>
      <c r="AT89" s="22">
        <v>0</v>
      </c>
      <c r="AU89" s="19">
        <f t="shared" si="4"/>
        <v>1000</v>
      </c>
      <c r="AV89" s="22">
        <v>14333.33</v>
      </c>
      <c r="AW89" s="24" t="s">
        <v>54</v>
      </c>
      <c r="AX89" s="25">
        <v>45789</v>
      </c>
      <c r="AY89" s="15"/>
      <c r="AZ89" s="26"/>
      <c r="BA89" s="27">
        <f t="shared" si="5"/>
        <v>3.3333333321934333E-3</v>
      </c>
      <c r="BB89" s="14"/>
      <c r="BC89" s="28"/>
    </row>
    <row r="90" spans="1:55" ht="21" x14ac:dyDescent="0.4">
      <c r="A90" s="15">
        <v>89</v>
      </c>
      <c r="B90" s="16">
        <v>80555</v>
      </c>
      <c r="C90" s="17" t="s">
        <v>178</v>
      </c>
      <c r="D90" s="16" t="s">
        <v>190</v>
      </c>
      <c r="E90" s="16" t="s">
        <v>198</v>
      </c>
      <c r="F90" s="16">
        <v>30</v>
      </c>
      <c r="G90" s="16">
        <v>30</v>
      </c>
      <c r="H90" s="18">
        <f t="shared" si="0"/>
        <v>0</v>
      </c>
      <c r="I90" s="19">
        <f t="shared" si="1"/>
        <v>0</v>
      </c>
      <c r="J90" s="16">
        <v>0</v>
      </c>
      <c r="K90" s="20">
        <v>0</v>
      </c>
      <c r="L90" s="21"/>
      <c r="M90" s="21"/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22">
        <v>25000</v>
      </c>
      <c r="T90" s="19">
        <f t="shared" si="2"/>
        <v>0</v>
      </c>
      <c r="U90" s="19">
        <f t="shared" si="3"/>
        <v>25000</v>
      </c>
      <c r="V90" s="22">
        <v>25000</v>
      </c>
      <c r="W90" s="31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J90" s="22">
        <v>0</v>
      </c>
      <c r="AK90" s="22">
        <v>0</v>
      </c>
      <c r="AL90" s="22">
        <v>0</v>
      </c>
      <c r="AM90" s="22">
        <v>0</v>
      </c>
      <c r="AN90" s="22">
        <v>0</v>
      </c>
      <c r="AO90" s="22">
        <v>0</v>
      </c>
      <c r="AP90" s="22">
        <v>0</v>
      </c>
      <c r="AQ90" s="22">
        <v>0</v>
      </c>
      <c r="AR90" s="22">
        <v>0</v>
      </c>
      <c r="AS90" s="22">
        <v>0</v>
      </c>
      <c r="AT90" s="22">
        <v>0</v>
      </c>
      <c r="AU90" s="19">
        <f t="shared" si="4"/>
        <v>0</v>
      </c>
      <c r="AV90" s="22">
        <v>25000</v>
      </c>
      <c r="AW90" s="24" t="s">
        <v>54</v>
      </c>
      <c r="AX90" s="25">
        <v>45790</v>
      </c>
      <c r="AY90" s="15"/>
      <c r="AZ90" s="26"/>
      <c r="BA90" s="27">
        <f t="shared" si="5"/>
        <v>0</v>
      </c>
      <c r="BB90" s="14"/>
      <c r="BC90" s="28"/>
    </row>
    <row r="91" spans="1:55" ht="28.8" x14ac:dyDescent="0.4">
      <c r="A91" s="15">
        <v>90</v>
      </c>
      <c r="B91" s="16">
        <v>80642</v>
      </c>
      <c r="C91" s="17" t="s">
        <v>178</v>
      </c>
      <c r="D91" s="16" t="s">
        <v>125</v>
      </c>
      <c r="E91" s="16" t="s">
        <v>199</v>
      </c>
      <c r="F91" s="16">
        <v>30</v>
      </c>
      <c r="G91" s="16">
        <v>30</v>
      </c>
      <c r="H91" s="18">
        <f t="shared" si="0"/>
        <v>0</v>
      </c>
      <c r="I91" s="19">
        <f t="shared" si="1"/>
        <v>0</v>
      </c>
      <c r="J91" s="16">
        <v>1</v>
      </c>
      <c r="K91" s="20">
        <v>0</v>
      </c>
      <c r="L91" s="21"/>
      <c r="M91" s="21"/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22">
        <v>25000</v>
      </c>
      <c r="T91" s="19">
        <f t="shared" si="2"/>
        <v>0</v>
      </c>
      <c r="U91" s="19">
        <f t="shared" si="3"/>
        <v>25000</v>
      </c>
      <c r="V91" s="22">
        <v>24167</v>
      </c>
      <c r="W91" s="31">
        <v>833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  <c r="AH91" s="22">
        <v>0</v>
      </c>
      <c r="AI91" s="22">
        <v>0</v>
      </c>
      <c r="AJ91" s="22">
        <v>0</v>
      </c>
      <c r="AK91" s="22">
        <v>0</v>
      </c>
      <c r="AL91" s="22">
        <v>0</v>
      </c>
      <c r="AM91" s="22">
        <v>0</v>
      </c>
      <c r="AN91" s="22">
        <v>0</v>
      </c>
      <c r="AO91" s="22">
        <v>0</v>
      </c>
      <c r="AP91" s="22">
        <v>0</v>
      </c>
      <c r="AQ91" s="22">
        <v>0</v>
      </c>
      <c r="AR91" s="22">
        <v>0</v>
      </c>
      <c r="AS91" s="22">
        <v>0</v>
      </c>
      <c r="AT91" s="22">
        <v>0</v>
      </c>
      <c r="AU91" s="19">
        <f t="shared" si="4"/>
        <v>0</v>
      </c>
      <c r="AV91" s="22">
        <v>25000</v>
      </c>
      <c r="AW91" s="24" t="s">
        <v>54</v>
      </c>
      <c r="AX91" s="25">
        <v>45789</v>
      </c>
      <c r="AY91" s="15"/>
      <c r="AZ91" s="26"/>
      <c r="BA91" s="27">
        <f t="shared" si="5"/>
        <v>0</v>
      </c>
      <c r="BB91" s="14"/>
      <c r="BC91" s="28"/>
    </row>
    <row r="92" spans="1:55" ht="28.8" x14ac:dyDescent="0.4">
      <c r="A92" s="15">
        <v>91</v>
      </c>
      <c r="B92" s="16">
        <v>80730</v>
      </c>
      <c r="C92" s="17" t="s">
        <v>178</v>
      </c>
      <c r="D92" s="16" t="s">
        <v>125</v>
      </c>
      <c r="E92" s="16" t="s">
        <v>200</v>
      </c>
      <c r="F92" s="16">
        <v>30</v>
      </c>
      <c r="G92" s="16">
        <v>30</v>
      </c>
      <c r="H92" s="18">
        <f t="shared" si="0"/>
        <v>0</v>
      </c>
      <c r="I92" s="19">
        <f t="shared" si="1"/>
        <v>0</v>
      </c>
      <c r="J92" s="16">
        <v>2</v>
      </c>
      <c r="K92" s="33">
        <v>1</v>
      </c>
      <c r="L92" s="21"/>
      <c r="M92" s="21"/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22">
        <v>25000</v>
      </c>
      <c r="T92" s="19">
        <f t="shared" si="2"/>
        <v>833.33333333333337</v>
      </c>
      <c r="U92" s="19">
        <f t="shared" si="3"/>
        <v>24999</v>
      </c>
      <c r="V92" s="22">
        <v>23333</v>
      </c>
      <c r="W92" s="31">
        <f>833+833</f>
        <v>1666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4000</v>
      </c>
      <c r="AG92" s="22">
        <v>0</v>
      </c>
      <c r="AH92" s="22">
        <v>0</v>
      </c>
      <c r="AI92" s="22">
        <v>0</v>
      </c>
      <c r="AJ92" s="22">
        <v>0</v>
      </c>
      <c r="AK92" s="22">
        <v>0</v>
      </c>
      <c r="AL92" s="22">
        <v>0</v>
      </c>
      <c r="AM92" s="22">
        <v>0</v>
      </c>
      <c r="AN92" s="22">
        <v>0</v>
      </c>
      <c r="AO92" s="22">
        <v>0</v>
      </c>
      <c r="AP92" s="22">
        <v>0</v>
      </c>
      <c r="AQ92" s="22">
        <v>0</v>
      </c>
      <c r="AR92" s="22">
        <v>0</v>
      </c>
      <c r="AS92" s="22">
        <v>0</v>
      </c>
      <c r="AT92" s="22">
        <v>0</v>
      </c>
      <c r="AU92" s="19">
        <f t="shared" si="4"/>
        <v>4000</v>
      </c>
      <c r="AV92" s="22">
        <f>20166.67+833</f>
        <v>20999.67</v>
      </c>
      <c r="AW92" s="29"/>
      <c r="AX92" s="34"/>
      <c r="AY92" s="15"/>
      <c r="AZ92" s="26"/>
      <c r="BA92" s="27">
        <f t="shared" si="5"/>
        <v>-833.00333333333037</v>
      </c>
      <c r="BB92" s="14"/>
      <c r="BC92" s="28"/>
    </row>
    <row r="93" spans="1:55" ht="28.8" x14ac:dyDescent="0.4">
      <c r="A93" s="15">
        <v>92</v>
      </c>
      <c r="B93" s="16">
        <v>80795</v>
      </c>
      <c r="C93" s="17" t="s">
        <v>178</v>
      </c>
      <c r="D93" s="16" t="s">
        <v>176</v>
      </c>
      <c r="E93" s="16" t="s">
        <v>201</v>
      </c>
      <c r="F93" s="16">
        <v>30</v>
      </c>
      <c r="G93" s="16">
        <v>12</v>
      </c>
      <c r="H93" s="18">
        <f t="shared" si="0"/>
        <v>18</v>
      </c>
      <c r="I93" s="19">
        <f t="shared" si="1"/>
        <v>9000</v>
      </c>
      <c r="J93" s="16">
        <v>0</v>
      </c>
      <c r="K93" s="20">
        <v>0</v>
      </c>
      <c r="L93" s="21"/>
      <c r="M93" s="21"/>
      <c r="N93" s="16">
        <v>0</v>
      </c>
      <c r="O93" s="16">
        <v>0</v>
      </c>
      <c r="P93" s="16">
        <v>0</v>
      </c>
      <c r="Q93" s="16">
        <v>0</v>
      </c>
      <c r="R93" s="16">
        <v>18</v>
      </c>
      <c r="S93" s="22">
        <v>15000</v>
      </c>
      <c r="T93" s="19">
        <f t="shared" si="2"/>
        <v>0</v>
      </c>
      <c r="U93" s="19">
        <f t="shared" si="3"/>
        <v>6000</v>
      </c>
      <c r="V93" s="22">
        <v>6000</v>
      </c>
      <c r="W93" s="31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0</v>
      </c>
      <c r="AQ93" s="22">
        <v>0</v>
      </c>
      <c r="AR93" s="22">
        <v>0</v>
      </c>
      <c r="AS93" s="22">
        <v>0</v>
      </c>
      <c r="AT93" s="22">
        <v>0</v>
      </c>
      <c r="AU93" s="19">
        <f t="shared" si="4"/>
        <v>0</v>
      </c>
      <c r="AV93" s="22">
        <v>6000</v>
      </c>
      <c r="AW93" s="24" t="s">
        <v>54</v>
      </c>
      <c r="AX93" s="25">
        <v>45789</v>
      </c>
      <c r="AY93" s="15"/>
      <c r="AZ93" s="26"/>
      <c r="BA93" s="27">
        <f t="shared" si="5"/>
        <v>0</v>
      </c>
      <c r="BB93" s="14"/>
      <c r="BC93" s="28"/>
    </row>
    <row r="94" spans="1:55" ht="28.8" x14ac:dyDescent="0.4">
      <c r="A94" s="15">
        <v>93</v>
      </c>
      <c r="B94" s="16">
        <v>22163</v>
      </c>
      <c r="C94" s="17" t="s">
        <v>202</v>
      </c>
      <c r="D94" s="16" t="s">
        <v>203</v>
      </c>
      <c r="E94" s="16" t="s">
        <v>204</v>
      </c>
      <c r="F94" s="16">
        <v>30</v>
      </c>
      <c r="G94" s="16">
        <v>30</v>
      </c>
      <c r="H94" s="18">
        <f t="shared" si="0"/>
        <v>0</v>
      </c>
      <c r="I94" s="19">
        <f t="shared" si="1"/>
        <v>0</v>
      </c>
      <c r="J94" s="16">
        <v>0</v>
      </c>
      <c r="K94" s="20">
        <v>0</v>
      </c>
      <c r="L94" s="21"/>
      <c r="M94" s="21"/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22">
        <v>27500</v>
      </c>
      <c r="T94" s="19">
        <f t="shared" si="2"/>
        <v>0</v>
      </c>
      <c r="U94" s="19">
        <f t="shared" si="3"/>
        <v>27500</v>
      </c>
      <c r="V94" s="22">
        <v>27500</v>
      </c>
      <c r="W94" s="31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4000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19">
        <f t="shared" si="4"/>
        <v>4000</v>
      </c>
      <c r="AV94" s="22">
        <v>23500</v>
      </c>
      <c r="AW94" s="24" t="s">
        <v>54</v>
      </c>
      <c r="AX94" s="25">
        <v>45790</v>
      </c>
      <c r="AY94" s="15"/>
      <c r="AZ94" s="26"/>
      <c r="BA94" s="27">
        <f t="shared" si="5"/>
        <v>0</v>
      </c>
      <c r="BB94" s="14"/>
      <c r="BC94" s="28"/>
    </row>
    <row r="95" spans="1:55" ht="28.8" x14ac:dyDescent="0.4">
      <c r="A95" s="15">
        <v>94</v>
      </c>
      <c r="B95" s="16">
        <v>14069</v>
      </c>
      <c r="C95" s="17" t="s">
        <v>202</v>
      </c>
      <c r="D95" s="16" t="s">
        <v>205</v>
      </c>
      <c r="E95" s="16" t="s">
        <v>206</v>
      </c>
      <c r="F95" s="16">
        <v>30</v>
      </c>
      <c r="G95" s="16">
        <v>30</v>
      </c>
      <c r="H95" s="18">
        <f t="shared" si="0"/>
        <v>0</v>
      </c>
      <c r="I95" s="19">
        <f t="shared" si="1"/>
        <v>0</v>
      </c>
      <c r="J95" s="16">
        <v>5</v>
      </c>
      <c r="K95" s="20">
        <v>2</v>
      </c>
      <c r="L95" s="21"/>
      <c r="M95" s="21"/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22">
        <v>30000</v>
      </c>
      <c r="T95" s="19">
        <f t="shared" si="2"/>
        <v>2000</v>
      </c>
      <c r="U95" s="19">
        <f t="shared" si="3"/>
        <v>28000</v>
      </c>
      <c r="V95" s="22">
        <v>25000</v>
      </c>
      <c r="W95" s="31">
        <v>3000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2200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19">
        <f t="shared" si="4"/>
        <v>2200</v>
      </c>
      <c r="AV95" s="22">
        <v>25800</v>
      </c>
      <c r="AW95" s="24" t="s">
        <v>54</v>
      </c>
      <c r="AX95" s="25">
        <v>45789</v>
      </c>
      <c r="AY95" s="15"/>
      <c r="AZ95" s="26"/>
      <c r="BA95" s="27">
        <f t="shared" si="5"/>
        <v>0</v>
      </c>
      <c r="BB95" s="14"/>
      <c r="BC95" s="28"/>
    </row>
    <row r="96" spans="1:55" ht="28.8" x14ac:dyDescent="0.4">
      <c r="A96" s="15">
        <v>95</v>
      </c>
      <c r="B96" s="16">
        <v>80513</v>
      </c>
      <c r="C96" s="17" t="s">
        <v>202</v>
      </c>
      <c r="D96" s="16" t="s">
        <v>207</v>
      </c>
      <c r="E96" s="16" t="s">
        <v>208</v>
      </c>
      <c r="F96" s="16">
        <v>30</v>
      </c>
      <c r="G96" s="16">
        <v>30</v>
      </c>
      <c r="H96" s="18">
        <f t="shared" si="0"/>
        <v>0</v>
      </c>
      <c r="I96" s="19">
        <f t="shared" si="1"/>
        <v>0</v>
      </c>
      <c r="J96" s="16">
        <v>1</v>
      </c>
      <c r="K96" s="20">
        <v>0</v>
      </c>
      <c r="L96" s="21"/>
      <c r="M96" s="21"/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22">
        <v>28000</v>
      </c>
      <c r="T96" s="19">
        <f t="shared" si="2"/>
        <v>0</v>
      </c>
      <c r="U96" s="19">
        <f t="shared" si="3"/>
        <v>28000</v>
      </c>
      <c r="V96" s="22">
        <v>27067</v>
      </c>
      <c r="W96" s="31">
        <v>933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5000</v>
      </c>
      <c r="AE96" s="22">
        <v>0</v>
      </c>
      <c r="AF96" s="22">
        <v>0</v>
      </c>
      <c r="AG96" s="32"/>
      <c r="AH96" s="22">
        <v>0</v>
      </c>
      <c r="AI96" s="22">
        <v>0</v>
      </c>
      <c r="AJ96" s="22">
        <v>0</v>
      </c>
      <c r="AK96" s="22">
        <v>0</v>
      </c>
      <c r="AL96" s="22">
        <v>0</v>
      </c>
      <c r="AM96" s="22">
        <v>0</v>
      </c>
      <c r="AN96" s="22">
        <v>0</v>
      </c>
      <c r="AO96" s="22">
        <v>0</v>
      </c>
      <c r="AP96" s="22">
        <v>0</v>
      </c>
      <c r="AQ96" s="22">
        <v>0</v>
      </c>
      <c r="AR96" s="22">
        <v>0</v>
      </c>
      <c r="AS96" s="22">
        <v>0</v>
      </c>
      <c r="AT96" s="22">
        <v>0</v>
      </c>
      <c r="AU96" s="19">
        <f t="shared" si="4"/>
        <v>5000</v>
      </c>
      <c r="AV96" s="22">
        <f>28000-5000</f>
        <v>23000</v>
      </c>
      <c r="AW96" s="24"/>
      <c r="AX96" s="34" t="s">
        <v>209</v>
      </c>
      <c r="AY96" s="15"/>
      <c r="AZ96" s="26"/>
      <c r="BA96" s="27">
        <f t="shared" si="5"/>
        <v>0</v>
      </c>
      <c r="BB96" s="14"/>
      <c r="BC96" s="28"/>
    </row>
    <row r="97" spans="1:55" ht="28.8" x14ac:dyDescent="0.4">
      <c r="A97" s="15">
        <v>96</v>
      </c>
      <c r="B97" s="16">
        <v>80742</v>
      </c>
      <c r="C97" s="17" t="s">
        <v>202</v>
      </c>
      <c r="D97" s="16" t="s">
        <v>207</v>
      </c>
      <c r="E97" s="16" t="s">
        <v>210</v>
      </c>
      <c r="F97" s="16">
        <v>30</v>
      </c>
      <c r="G97" s="16">
        <v>29</v>
      </c>
      <c r="H97" s="18">
        <f t="shared" si="0"/>
        <v>1</v>
      </c>
      <c r="I97" s="19">
        <f t="shared" si="1"/>
        <v>1000</v>
      </c>
      <c r="J97" s="16">
        <v>2</v>
      </c>
      <c r="K97" s="33">
        <v>1</v>
      </c>
      <c r="L97" s="21"/>
      <c r="M97" s="21"/>
      <c r="N97" s="16">
        <v>0</v>
      </c>
      <c r="O97" s="16">
        <v>0</v>
      </c>
      <c r="P97" s="16">
        <v>0</v>
      </c>
      <c r="Q97" s="16">
        <v>0</v>
      </c>
      <c r="R97" s="16">
        <v>1</v>
      </c>
      <c r="S97" s="22">
        <v>30000</v>
      </c>
      <c r="T97" s="19">
        <f t="shared" si="2"/>
        <v>1000</v>
      </c>
      <c r="U97" s="19">
        <f t="shared" si="3"/>
        <v>29000</v>
      </c>
      <c r="V97" s="22">
        <v>27000</v>
      </c>
      <c r="W97" s="31">
        <f>1000+1000</f>
        <v>2000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0</v>
      </c>
      <c r="AJ97" s="22">
        <v>0</v>
      </c>
      <c r="AK97" s="22">
        <v>0</v>
      </c>
      <c r="AL97" s="22">
        <v>0</v>
      </c>
      <c r="AM97" s="22">
        <v>0</v>
      </c>
      <c r="AN97" s="22">
        <v>0</v>
      </c>
      <c r="AO97" s="22">
        <v>0</v>
      </c>
      <c r="AP97" s="22">
        <v>0</v>
      </c>
      <c r="AQ97" s="22">
        <v>0</v>
      </c>
      <c r="AR97" s="22">
        <v>0</v>
      </c>
      <c r="AS97" s="22">
        <v>0</v>
      </c>
      <c r="AT97" s="22">
        <v>0</v>
      </c>
      <c r="AU97" s="19">
        <f t="shared" si="4"/>
        <v>0</v>
      </c>
      <c r="AV97" s="22">
        <f>28000+1000</f>
        <v>29000</v>
      </c>
      <c r="AW97" s="29" t="s">
        <v>54</v>
      </c>
      <c r="AX97" s="25">
        <v>45789</v>
      </c>
      <c r="AY97" s="15"/>
      <c r="AZ97" s="26"/>
      <c r="BA97" s="27">
        <f t="shared" si="5"/>
        <v>-1000</v>
      </c>
      <c r="BB97" s="14"/>
      <c r="BC97" s="28"/>
    </row>
    <row r="98" spans="1:55" ht="28.8" x14ac:dyDescent="0.4">
      <c r="A98" s="15">
        <v>97</v>
      </c>
      <c r="B98" s="16">
        <v>80441</v>
      </c>
      <c r="C98" s="17" t="s">
        <v>202</v>
      </c>
      <c r="D98" s="16" t="s">
        <v>205</v>
      </c>
      <c r="E98" s="16" t="s">
        <v>211</v>
      </c>
      <c r="F98" s="16">
        <v>30</v>
      </c>
      <c r="G98" s="16">
        <v>30</v>
      </c>
      <c r="H98" s="18">
        <f t="shared" si="0"/>
        <v>0</v>
      </c>
      <c r="I98" s="19">
        <f t="shared" si="1"/>
        <v>0</v>
      </c>
      <c r="J98" s="16">
        <v>6</v>
      </c>
      <c r="K98" s="20">
        <v>3</v>
      </c>
      <c r="L98" s="21"/>
      <c r="M98" s="21"/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22">
        <v>28000</v>
      </c>
      <c r="T98" s="19">
        <f t="shared" si="2"/>
        <v>2800</v>
      </c>
      <c r="U98" s="19">
        <f t="shared" si="3"/>
        <v>25200</v>
      </c>
      <c r="V98" s="22">
        <v>22400</v>
      </c>
      <c r="W98" s="31">
        <v>2800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1678</v>
      </c>
      <c r="AD98" s="22">
        <v>0</v>
      </c>
      <c r="AE98" s="22">
        <v>0</v>
      </c>
      <c r="AF98" s="22">
        <v>4000</v>
      </c>
      <c r="AG98" s="22">
        <v>0</v>
      </c>
      <c r="AH98" s="22">
        <v>0</v>
      </c>
      <c r="AI98" s="22">
        <v>0</v>
      </c>
      <c r="AJ98" s="22">
        <v>0</v>
      </c>
      <c r="AK98" s="22">
        <v>0</v>
      </c>
      <c r="AL98" s="22">
        <v>0</v>
      </c>
      <c r="AM98" s="22">
        <v>0</v>
      </c>
      <c r="AN98" s="22">
        <v>0</v>
      </c>
      <c r="AO98" s="22">
        <v>0</v>
      </c>
      <c r="AP98" s="22">
        <v>0</v>
      </c>
      <c r="AQ98" s="22">
        <v>0</v>
      </c>
      <c r="AR98" s="22">
        <v>0</v>
      </c>
      <c r="AS98" s="22">
        <v>0</v>
      </c>
      <c r="AT98" s="22">
        <v>0</v>
      </c>
      <c r="AU98" s="19">
        <f t="shared" si="4"/>
        <v>5678</v>
      </c>
      <c r="AV98" s="22">
        <v>19522</v>
      </c>
      <c r="AW98" s="24" t="s">
        <v>54</v>
      </c>
      <c r="AX98" s="25">
        <v>45789</v>
      </c>
      <c r="AY98" s="15"/>
      <c r="AZ98" s="26"/>
      <c r="BA98" s="27">
        <f t="shared" si="5"/>
        <v>0</v>
      </c>
      <c r="BB98" s="14"/>
      <c r="BC98" s="28"/>
    </row>
    <row r="99" spans="1:55" ht="28.8" x14ac:dyDescent="0.4">
      <c r="A99" s="15">
        <v>98</v>
      </c>
      <c r="B99" s="16">
        <v>28145</v>
      </c>
      <c r="C99" s="17" t="s">
        <v>32</v>
      </c>
      <c r="D99" s="16" t="s">
        <v>212</v>
      </c>
      <c r="E99" s="16" t="s">
        <v>213</v>
      </c>
      <c r="F99" s="16">
        <v>30</v>
      </c>
      <c r="G99" s="16">
        <v>30</v>
      </c>
      <c r="H99" s="18">
        <f t="shared" si="0"/>
        <v>0</v>
      </c>
      <c r="I99" s="19">
        <f t="shared" si="1"/>
        <v>0</v>
      </c>
      <c r="J99" s="16">
        <v>0</v>
      </c>
      <c r="K99" s="20">
        <v>0</v>
      </c>
      <c r="L99" s="21"/>
      <c r="M99" s="21"/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22">
        <v>16000</v>
      </c>
      <c r="T99" s="19">
        <f t="shared" si="2"/>
        <v>0</v>
      </c>
      <c r="U99" s="19">
        <f t="shared" si="3"/>
        <v>16000</v>
      </c>
      <c r="V99" s="22">
        <v>16000</v>
      </c>
      <c r="W99" s="31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</v>
      </c>
      <c r="AG99" s="22">
        <v>0</v>
      </c>
      <c r="AH99" s="22">
        <v>1000</v>
      </c>
      <c r="AI99" s="22">
        <v>500</v>
      </c>
      <c r="AJ99" s="22">
        <v>14500</v>
      </c>
      <c r="AK99" s="22">
        <v>0</v>
      </c>
      <c r="AL99" s="22">
        <v>0</v>
      </c>
      <c r="AM99" s="22">
        <v>0</v>
      </c>
      <c r="AN99" s="22">
        <v>0</v>
      </c>
      <c r="AO99" s="22">
        <v>0</v>
      </c>
      <c r="AP99" s="22">
        <v>0</v>
      </c>
      <c r="AQ99" s="22">
        <v>0</v>
      </c>
      <c r="AR99" s="22">
        <v>0</v>
      </c>
      <c r="AS99" s="22">
        <v>0</v>
      </c>
      <c r="AT99" s="22">
        <v>0</v>
      </c>
      <c r="AU99" s="19">
        <f t="shared" si="4"/>
        <v>16000</v>
      </c>
      <c r="AV99" s="22">
        <v>0</v>
      </c>
      <c r="AW99" s="24"/>
      <c r="AX99" s="34"/>
      <c r="AY99" s="15"/>
      <c r="AZ99" s="26"/>
      <c r="BA99" s="27">
        <f t="shared" si="5"/>
        <v>1.8189894035458565E-12</v>
      </c>
      <c r="BB99" s="14"/>
      <c r="BC99" s="28"/>
    </row>
    <row r="100" spans="1:55" ht="28.8" x14ac:dyDescent="0.4">
      <c r="A100" s="15">
        <v>99</v>
      </c>
      <c r="B100" s="16">
        <v>33172</v>
      </c>
      <c r="C100" s="17" t="s">
        <v>32</v>
      </c>
      <c r="D100" s="16" t="s">
        <v>212</v>
      </c>
      <c r="E100" s="16" t="s">
        <v>214</v>
      </c>
      <c r="F100" s="16">
        <v>30</v>
      </c>
      <c r="G100" s="16">
        <v>23</v>
      </c>
      <c r="H100" s="18">
        <f t="shared" si="0"/>
        <v>7</v>
      </c>
      <c r="I100" s="19">
        <f t="shared" si="1"/>
        <v>3733.3333333333335</v>
      </c>
      <c r="J100" s="16">
        <v>0</v>
      </c>
      <c r="K100" s="20">
        <v>0</v>
      </c>
      <c r="L100" s="21"/>
      <c r="M100" s="21"/>
      <c r="N100" s="16">
        <v>0</v>
      </c>
      <c r="O100" s="16">
        <v>0</v>
      </c>
      <c r="P100" s="16">
        <v>0</v>
      </c>
      <c r="Q100" s="16">
        <v>0</v>
      </c>
      <c r="R100" s="16">
        <v>7</v>
      </c>
      <c r="S100" s="22">
        <v>16000</v>
      </c>
      <c r="T100" s="19">
        <f t="shared" si="2"/>
        <v>0</v>
      </c>
      <c r="U100" s="19">
        <f t="shared" si="3"/>
        <v>12267</v>
      </c>
      <c r="V100" s="22">
        <v>12267</v>
      </c>
      <c r="W100" s="31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v>0</v>
      </c>
      <c r="AG100" s="22">
        <v>0</v>
      </c>
      <c r="AH100" s="22">
        <v>0</v>
      </c>
      <c r="AI100" s="22">
        <v>666</v>
      </c>
      <c r="AJ100" s="22">
        <v>11600</v>
      </c>
      <c r="AK100" s="22">
        <v>0</v>
      </c>
      <c r="AL100" s="22">
        <v>0</v>
      </c>
      <c r="AM100" s="22">
        <v>0</v>
      </c>
      <c r="AN100" s="22">
        <v>0</v>
      </c>
      <c r="AO100" s="22">
        <v>0</v>
      </c>
      <c r="AP100" s="22">
        <v>0</v>
      </c>
      <c r="AQ100" s="22">
        <v>0</v>
      </c>
      <c r="AR100" s="22">
        <v>0</v>
      </c>
      <c r="AS100" s="22">
        <v>0</v>
      </c>
      <c r="AT100" s="22">
        <v>0</v>
      </c>
      <c r="AU100" s="19">
        <f t="shared" si="4"/>
        <v>12266</v>
      </c>
      <c r="AV100" s="22">
        <v>0</v>
      </c>
      <c r="AW100" s="24"/>
      <c r="AX100" s="34"/>
      <c r="AY100" s="15"/>
      <c r="AZ100" s="26"/>
      <c r="BA100" s="27">
        <f t="shared" si="5"/>
        <v>0.66666666666787933</v>
      </c>
      <c r="BB100" s="14"/>
      <c r="BC100" s="28"/>
    </row>
    <row r="101" spans="1:55" ht="28.8" x14ac:dyDescent="0.4">
      <c r="A101" s="15">
        <v>100</v>
      </c>
      <c r="B101" s="16">
        <v>80336</v>
      </c>
      <c r="C101" s="17" t="s">
        <v>32</v>
      </c>
      <c r="D101" s="16" t="s">
        <v>215</v>
      </c>
      <c r="E101" s="16" t="s">
        <v>216</v>
      </c>
      <c r="F101" s="16">
        <v>30</v>
      </c>
      <c r="G101" s="16">
        <v>30</v>
      </c>
      <c r="H101" s="18">
        <f t="shared" si="0"/>
        <v>0</v>
      </c>
      <c r="I101" s="19">
        <f t="shared" si="1"/>
        <v>0</v>
      </c>
      <c r="J101" s="16">
        <v>0</v>
      </c>
      <c r="K101" s="20">
        <v>0</v>
      </c>
      <c r="L101" s="21"/>
      <c r="M101" s="21"/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22">
        <v>16000</v>
      </c>
      <c r="T101" s="19">
        <f t="shared" si="2"/>
        <v>0</v>
      </c>
      <c r="U101" s="19">
        <f t="shared" si="3"/>
        <v>16000</v>
      </c>
      <c r="V101" s="22">
        <v>16000</v>
      </c>
      <c r="W101" s="31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  <c r="AH101" s="22">
        <v>0</v>
      </c>
      <c r="AI101" s="22">
        <v>0</v>
      </c>
      <c r="AJ101" s="22">
        <v>16000</v>
      </c>
      <c r="AK101" s="22">
        <v>0</v>
      </c>
      <c r="AL101" s="22">
        <v>0</v>
      </c>
      <c r="AM101" s="22">
        <v>0</v>
      </c>
      <c r="AN101" s="22">
        <v>0</v>
      </c>
      <c r="AO101" s="22">
        <v>0</v>
      </c>
      <c r="AP101" s="22">
        <v>0</v>
      </c>
      <c r="AQ101" s="22">
        <v>0</v>
      </c>
      <c r="AR101" s="22">
        <v>0</v>
      </c>
      <c r="AS101" s="22">
        <v>0</v>
      </c>
      <c r="AT101" s="22">
        <v>0</v>
      </c>
      <c r="AU101" s="19">
        <f t="shared" si="4"/>
        <v>16000</v>
      </c>
      <c r="AV101" s="22">
        <v>0</v>
      </c>
      <c r="AW101" s="24"/>
      <c r="AX101" s="34"/>
      <c r="AY101" s="15"/>
      <c r="AZ101" s="26"/>
      <c r="BA101" s="27">
        <f t="shared" si="5"/>
        <v>1.8189894035458565E-12</v>
      </c>
      <c r="BB101" s="14"/>
      <c r="BC101" s="28"/>
    </row>
    <row r="102" spans="1:55" ht="42.6" x14ac:dyDescent="0.4">
      <c r="A102" s="15">
        <v>101</v>
      </c>
      <c r="B102" s="16">
        <v>80407</v>
      </c>
      <c r="C102" s="17" t="s">
        <v>32</v>
      </c>
      <c r="D102" s="16" t="s">
        <v>217</v>
      </c>
      <c r="E102" s="16" t="s">
        <v>218</v>
      </c>
      <c r="F102" s="16">
        <v>30</v>
      </c>
      <c r="G102" s="16">
        <v>27</v>
      </c>
      <c r="H102" s="18">
        <f t="shared" si="0"/>
        <v>3</v>
      </c>
      <c r="I102" s="19">
        <f t="shared" si="1"/>
        <v>1980</v>
      </c>
      <c r="J102" s="16">
        <v>0</v>
      </c>
      <c r="K102" s="20">
        <v>0</v>
      </c>
      <c r="L102" s="21"/>
      <c r="M102" s="21"/>
      <c r="N102" s="16">
        <v>0</v>
      </c>
      <c r="O102" s="16">
        <v>0</v>
      </c>
      <c r="P102" s="16">
        <v>0</v>
      </c>
      <c r="Q102" s="16">
        <v>0</v>
      </c>
      <c r="R102" s="16">
        <v>3</v>
      </c>
      <c r="S102" s="22">
        <v>19800</v>
      </c>
      <c r="T102" s="19">
        <f t="shared" si="2"/>
        <v>0</v>
      </c>
      <c r="U102" s="19">
        <f t="shared" si="3"/>
        <v>17820</v>
      </c>
      <c r="V102" s="22">
        <v>17820</v>
      </c>
      <c r="W102" s="31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  <c r="AH102" s="22">
        <v>0</v>
      </c>
      <c r="AI102" s="22">
        <v>1350</v>
      </c>
      <c r="AJ102" s="22">
        <v>16470</v>
      </c>
      <c r="AK102" s="22">
        <v>0</v>
      </c>
      <c r="AL102" s="22">
        <v>0</v>
      </c>
      <c r="AM102" s="22">
        <v>0</v>
      </c>
      <c r="AN102" s="22">
        <v>0</v>
      </c>
      <c r="AO102" s="22">
        <v>0</v>
      </c>
      <c r="AP102" s="22">
        <v>0</v>
      </c>
      <c r="AQ102" s="22">
        <v>0</v>
      </c>
      <c r="AR102" s="22">
        <v>0</v>
      </c>
      <c r="AS102" s="22">
        <v>0</v>
      </c>
      <c r="AT102" s="22">
        <v>0</v>
      </c>
      <c r="AU102" s="19">
        <f t="shared" si="4"/>
        <v>17820</v>
      </c>
      <c r="AV102" s="22">
        <v>0</v>
      </c>
      <c r="AW102" s="24"/>
      <c r="AX102" s="34"/>
      <c r="AY102" s="15"/>
      <c r="AZ102" s="26"/>
      <c r="BA102" s="27">
        <f t="shared" si="5"/>
        <v>0</v>
      </c>
      <c r="BB102" s="14"/>
      <c r="BC102" s="28"/>
    </row>
    <row r="103" spans="1:55" ht="28.8" x14ac:dyDescent="0.4">
      <c r="A103" s="15">
        <v>102</v>
      </c>
      <c r="B103" s="16">
        <v>80451</v>
      </c>
      <c r="C103" s="17" t="s">
        <v>32</v>
      </c>
      <c r="D103" s="16" t="s">
        <v>219</v>
      </c>
      <c r="E103" s="16" t="s">
        <v>220</v>
      </c>
      <c r="F103" s="16">
        <v>30</v>
      </c>
      <c r="G103" s="16">
        <v>18</v>
      </c>
      <c r="H103" s="18">
        <f t="shared" si="0"/>
        <v>12</v>
      </c>
      <c r="I103" s="19">
        <f t="shared" si="1"/>
        <v>8800</v>
      </c>
      <c r="J103" s="16">
        <v>0</v>
      </c>
      <c r="K103" s="20">
        <v>0</v>
      </c>
      <c r="L103" s="21"/>
      <c r="M103" s="21"/>
      <c r="N103" s="16">
        <v>0</v>
      </c>
      <c r="O103" s="16">
        <v>0</v>
      </c>
      <c r="P103" s="16">
        <v>0</v>
      </c>
      <c r="Q103" s="16">
        <v>0</v>
      </c>
      <c r="R103" s="16">
        <v>12</v>
      </c>
      <c r="S103" s="22">
        <v>22000</v>
      </c>
      <c r="T103" s="19">
        <f t="shared" si="2"/>
        <v>0</v>
      </c>
      <c r="U103" s="19">
        <f t="shared" si="3"/>
        <v>10087</v>
      </c>
      <c r="V103" s="22">
        <f>13200-3113</f>
        <v>10087</v>
      </c>
      <c r="W103" s="31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  <c r="AH103" s="22">
        <v>0</v>
      </c>
      <c r="AI103" s="22">
        <v>4617</v>
      </c>
      <c r="AJ103" s="22">
        <v>5470</v>
      </c>
      <c r="AK103" s="22">
        <v>0</v>
      </c>
      <c r="AL103" s="22">
        <v>0</v>
      </c>
      <c r="AM103" s="22">
        <v>0</v>
      </c>
      <c r="AN103" s="22">
        <v>0</v>
      </c>
      <c r="AO103" s="22">
        <v>0</v>
      </c>
      <c r="AP103" s="22">
        <v>0</v>
      </c>
      <c r="AQ103" s="22">
        <v>0</v>
      </c>
      <c r="AR103" s="22">
        <v>0</v>
      </c>
      <c r="AS103" s="22">
        <v>0</v>
      </c>
      <c r="AT103" s="22">
        <v>0</v>
      </c>
      <c r="AU103" s="19">
        <f t="shared" si="4"/>
        <v>10087</v>
      </c>
      <c r="AV103" s="22">
        <v>0</v>
      </c>
      <c r="AW103" s="24"/>
      <c r="AX103" s="34"/>
      <c r="AY103" s="15"/>
      <c r="AZ103" s="26"/>
      <c r="BA103" s="27">
        <f>+S103/F103*G103-T103-AU103-AV103+X103-3113</f>
        <v>0</v>
      </c>
      <c r="BB103" s="14"/>
      <c r="BC103" s="28"/>
    </row>
    <row r="104" spans="1:55" ht="28.8" x14ac:dyDescent="0.4">
      <c r="A104" s="15">
        <v>103</v>
      </c>
      <c r="B104" s="16">
        <v>80549</v>
      </c>
      <c r="C104" s="17" t="s">
        <v>32</v>
      </c>
      <c r="D104" s="16" t="s">
        <v>221</v>
      </c>
      <c r="E104" s="16" t="s">
        <v>222</v>
      </c>
      <c r="F104" s="16">
        <v>30</v>
      </c>
      <c r="G104" s="16">
        <v>30</v>
      </c>
      <c r="H104" s="18">
        <f t="shared" si="0"/>
        <v>0</v>
      </c>
      <c r="I104" s="19">
        <f t="shared" si="1"/>
        <v>0</v>
      </c>
      <c r="J104" s="16">
        <v>0</v>
      </c>
      <c r="K104" s="20">
        <v>0</v>
      </c>
      <c r="L104" s="21"/>
      <c r="M104" s="21"/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22">
        <v>16000</v>
      </c>
      <c r="T104" s="19">
        <f t="shared" si="2"/>
        <v>0</v>
      </c>
      <c r="U104" s="19">
        <f t="shared" si="3"/>
        <v>16000</v>
      </c>
      <c r="V104" s="22">
        <v>16000</v>
      </c>
      <c r="W104" s="31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  <c r="AH104" s="22">
        <v>0</v>
      </c>
      <c r="AI104" s="22">
        <v>1500</v>
      </c>
      <c r="AJ104" s="22">
        <v>14500</v>
      </c>
      <c r="AK104" s="22">
        <v>0</v>
      </c>
      <c r="AL104" s="22">
        <v>0</v>
      </c>
      <c r="AM104" s="22">
        <v>0</v>
      </c>
      <c r="AN104" s="22">
        <v>0</v>
      </c>
      <c r="AO104" s="22">
        <v>0</v>
      </c>
      <c r="AP104" s="22">
        <v>0</v>
      </c>
      <c r="AQ104" s="22">
        <v>0</v>
      </c>
      <c r="AR104" s="22">
        <v>0</v>
      </c>
      <c r="AS104" s="22">
        <v>0</v>
      </c>
      <c r="AT104" s="22">
        <v>0</v>
      </c>
      <c r="AU104" s="19">
        <f t="shared" si="4"/>
        <v>16000</v>
      </c>
      <c r="AV104" s="22">
        <v>0</v>
      </c>
      <c r="AW104" s="24"/>
      <c r="AX104" s="34"/>
      <c r="AY104" s="15"/>
      <c r="AZ104" s="26"/>
      <c r="BA104" s="27">
        <f t="shared" ref="BA104:BA128" si="6">+S104/F104*G104-T104-AU104-AV104+X104</f>
        <v>1.8189894035458565E-12</v>
      </c>
      <c r="BB104" s="14"/>
      <c r="BC104" s="28"/>
    </row>
    <row r="105" spans="1:55" ht="28.8" x14ac:dyDescent="0.4">
      <c r="A105" s="15">
        <v>104</v>
      </c>
      <c r="B105" s="16">
        <v>80618</v>
      </c>
      <c r="C105" s="17" t="s">
        <v>32</v>
      </c>
      <c r="D105" s="16" t="s">
        <v>223</v>
      </c>
      <c r="E105" s="16" t="s">
        <v>224</v>
      </c>
      <c r="F105" s="16">
        <v>30</v>
      </c>
      <c r="G105" s="16">
        <v>30</v>
      </c>
      <c r="H105" s="18">
        <f t="shared" si="0"/>
        <v>0</v>
      </c>
      <c r="I105" s="19">
        <f t="shared" si="1"/>
        <v>0</v>
      </c>
      <c r="J105" s="16">
        <v>0</v>
      </c>
      <c r="K105" s="20">
        <v>0</v>
      </c>
      <c r="L105" s="21"/>
      <c r="M105" s="21"/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22">
        <v>16000</v>
      </c>
      <c r="T105" s="19">
        <f t="shared" si="2"/>
        <v>0</v>
      </c>
      <c r="U105" s="19">
        <f t="shared" si="3"/>
        <v>16000</v>
      </c>
      <c r="V105" s="22">
        <v>16000</v>
      </c>
      <c r="W105" s="31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  <c r="AG105" s="22">
        <v>0</v>
      </c>
      <c r="AH105" s="22">
        <v>0</v>
      </c>
      <c r="AI105" s="22">
        <v>1500</v>
      </c>
      <c r="AJ105" s="22">
        <v>14500</v>
      </c>
      <c r="AK105" s="22">
        <v>0</v>
      </c>
      <c r="AL105" s="22">
        <v>0</v>
      </c>
      <c r="AM105" s="22">
        <v>0</v>
      </c>
      <c r="AN105" s="22">
        <v>0</v>
      </c>
      <c r="AO105" s="22">
        <v>0</v>
      </c>
      <c r="AP105" s="22">
        <v>0</v>
      </c>
      <c r="AQ105" s="22">
        <v>0</v>
      </c>
      <c r="AR105" s="22">
        <v>0</v>
      </c>
      <c r="AS105" s="22">
        <v>0</v>
      </c>
      <c r="AT105" s="22">
        <v>0</v>
      </c>
      <c r="AU105" s="19">
        <f t="shared" si="4"/>
        <v>16000</v>
      </c>
      <c r="AV105" s="22">
        <v>0</v>
      </c>
      <c r="AW105" s="24"/>
      <c r="AX105" s="34"/>
      <c r="AY105" s="15"/>
      <c r="AZ105" s="26"/>
      <c r="BA105" s="27">
        <f t="shared" si="6"/>
        <v>1.8189894035458565E-12</v>
      </c>
      <c r="BB105" s="14"/>
      <c r="BC105" s="28"/>
    </row>
    <row r="106" spans="1:55" ht="28.8" x14ac:dyDescent="0.4">
      <c r="A106" s="15">
        <v>105</v>
      </c>
      <c r="B106" s="16">
        <v>80627</v>
      </c>
      <c r="C106" s="17" t="s">
        <v>32</v>
      </c>
      <c r="D106" s="16" t="s">
        <v>225</v>
      </c>
      <c r="E106" s="16" t="s">
        <v>226</v>
      </c>
      <c r="F106" s="16">
        <v>30</v>
      </c>
      <c r="G106" s="16">
        <v>30</v>
      </c>
      <c r="H106" s="18">
        <f t="shared" si="0"/>
        <v>0</v>
      </c>
      <c r="I106" s="19">
        <f t="shared" si="1"/>
        <v>0</v>
      </c>
      <c r="J106" s="16">
        <v>0</v>
      </c>
      <c r="K106" s="20">
        <v>0</v>
      </c>
      <c r="L106" s="21"/>
      <c r="M106" s="21"/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22">
        <v>16000</v>
      </c>
      <c r="T106" s="19">
        <f t="shared" si="2"/>
        <v>0</v>
      </c>
      <c r="U106" s="19">
        <f t="shared" si="3"/>
        <v>16000</v>
      </c>
      <c r="V106" s="22">
        <v>16000</v>
      </c>
      <c r="W106" s="31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>
        <v>1000</v>
      </c>
      <c r="AG106" s="22">
        <v>0</v>
      </c>
      <c r="AH106" s="22">
        <v>0</v>
      </c>
      <c r="AI106" s="22">
        <v>1500</v>
      </c>
      <c r="AJ106" s="22">
        <v>13500</v>
      </c>
      <c r="AK106" s="22">
        <v>0</v>
      </c>
      <c r="AL106" s="22">
        <v>0</v>
      </c>
      <c r="AM106" s="22">
        <v>0</v>
      </c>
      <c r="AN106" s="22">
        <v>0</v>
      </c>
      <c r="AO106" s="22">
        <v>0</v>
      </c>
      <c r="AP106" s="22">
        <v>0</v>
      </c>
      <c r="AQ106" s="22">
        <v>0</v>
      </c>
      <c r="AR106" s="22">
        <v>0</v>
      </c>
      <c r="AS106" s="22">
        <v>0</v>
      </c>
      <c r="AT106" s="22">
        <v>0</v>
      </c>
      <c r="AU106" s="19">
        <f t="shared" si="4"/>
        <v>16000</v>
      </c>
      <c r="AV106" s="22">
        <v>0</v>
      </c>
      <c r="AW106" s="24"/>
      <c r="AX106" s="34"/>
      <c r="AY106" s="15"/>
      <c r="AZ106" s="26"/>
      <c r="BA106" s="27">
        <f t="shared" si="6"/>
        <v>1.8189894035458565E-12</v>
      </c>
      <c r="BB106" s="14"/>
      <c r="BC106" s="28"/>
    </row>
    <row r="107" spans="1:55" ht="28.8" x14ac:dyDescent="0.4">
      <c r="A107" s="15">
        <v>106</v>
      </c>
      <c r="B107" s="16">
        <v>80674</v>
      </c>
      <c r="C107" s="17" t="s">
        <v>32</v>
      </c>
      <c r="D107" s="16" t="s">
        <v>221</v>
      </c>
      <c r="E107" s="16" t="s">
        <v>227</v>
      </c>
      <c r="F107" s="16">
        <v>30</v>
      </c>
      <c r="G107" s="16">
        <v>30</v>
      </c>
      <c r="H107" s="18">
        <f t="shared" si="0"/>
        <v>0</v>
      </c>
      <c r="I107" s="19">
        <f t="shared" si="1"/>
        <v>0</v>
      </c>
      <c r="J107" s="16">
        <v>0</v>
      </c>
      <c r="K107" s="20">
        <v>0</v>
      </c>
      <c r="L107" s="21"/>
      <c r="M107" s="21"/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22">
        <v>16000</v>
      </c>
      <c r="T107" s="19">
        <f t="shared" si="2"/>
        <v>0</v>
      </c>
      <c r="U107" s="19">
        <f t="shared" si="3"/>
        <v>16000</v>
      </c>
      <c r="V107" s="22">
        <v>16000</v>
      </c>
      <c r="W107" s="31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2000</v>
      </c>
      <c r="AG107" s="22">
        <v>0</v>
      </c>
      <c r="AH107" s="22">
        <v>0</v>
      </c>
      <c r="AI107" s="22">
        <v>1500</v>
      </c>
      <c r="AJ107" s="22">
        <v>12500</v>
      </c>
      <c r="AK107" s="22">
        <v>0</v>
      </c>
      <c r="AL107" s="22">
        <v>0</v>
      </c>
      <c r="AM107" s="22">
        <v>0</v>
      </c>
      <c r="AN107" s="22">
        <v>0</v>
      </c>
      <c r="AO107" s="22">
        <v>0</v>
      </c>
      <c r="AP107" s="22">
        <v>0</v>
      </c>
      <c r="AQ107" s="22">
        <v>0</v>
      </c>
      <c r="AR107" s="22">
        <v>0</v>
      </c>
      <c r="AS107" s="22">
        <v>0</v>
      </c>
      <c r="AT107" s="22">
        <v>0</v>
      </c>
      <c r="AU107" s="19">
        <f t="shared" si="4"/>
        <v>16000</v>
      </c>
      <c r="AV107" s="22">
        <v>0</v>
      </c>
      <c r="AW107" s="24"/>
      <c r="AX107" s="34"/>
      <c r="AY107" s="15"/>
      <c r="AZ107" s="26"/>
      <c r="BA107" s="27">
        <f t="shared" si="6"/>
        <v>1.8189894035458565E-12</v>
      </c>
      <c r="BB107" s="14"/>
      <c r="BC107" s="28"/>
    </row>
    <row r="108" spans="1:55" ht="28.8" x14ac:dyDescent="0.4">
      <c r="A108" s="15">
        <v>107</v>
      </c>
      <c r="B108" s="16">
        <v>80676</v>
      </c>
      <c r="C108" s="17" t="s">
        <v>32</v>
      </c>
      <c r="D108" s="16" t="s">
        <v>221</v>
      </c>
      <c r="E108" s="16" t="s">
        <v>228</v>
      </c>
      <c r="F108" s="16">
        <v>30</v>
      </c>
      <c r="G108" s="16">
        <v>30</v>
      </c>
      <c r="H108" s="18">
        <f t="shared" si="0"/>
        <v>0</v>
      </c>
      <c r="I108" s="19">
        <f t="shared" si="1"/>
        <v>0</v>
      </c>
      <c r="J108" s="16">
        <v>0</v>
      </c>
      <c r="K108" s="20">
        <v>0</v>
      </c>
      <c r="L108" s="21"/>
      <c r="M108" s="21"/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22">
        <v>16000</v>
      </c>
      <c r="T108" s="19">
        <f t="shared" si="2"/>
        <v>0</v>
      </c>
      <c r="U108" s="19">
        <f t="shared" si="3"/>
        <v>16000</v>
      </c>
      <c r="V108" s="22">
        <v>16000</v>
      </c>
      <c r="W108" s="31">
        <v>0</v>
      </c>
      <c r="X108" s="22">
        <v>0</v>
      </c>
      <c r="Y108" s="22">
        <v>0</v>
      </c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>
        <v>0</v>
      </c>
      <c r="AG108" s="22">
        <v>0</v>
      </c>
      <c r="AH108" s="22">
        <v>0</v>
      </c>
      <c r="AI108" s="22">
        <v>1020</v>
      </c>
      <c r="AJ108" s="22">
        <v>14980</v>
      </c>
      <c r="AK108" s="22">
        <v>0</v>
      </c>
      <c r="AL108" s="22">
        <v>0</v>
      </c>
      <c r="AM108" s="22">
        <v>0</v>
      </c>
      <c r="AN108" s="22">
        <v>0</v>
      </c>
      <c r="AO108" s="22">
        <v>0</v>
      </c>
      <c r="AP108" s="22">
        <v>0</v>
      </c>
      <c r="AQ108" s="22">
        <v>0</v>
      </c>
      <c r="AR108" s="22">
        <v>0</v>
      </c>
      <c r="AS108" s="22">
        <v>0</v>
      </c>
      <c r="AT108" s="22">
        <v>0</v>
      </c>
      <c r="AU108" s="19">
        <f t="shared" si="4"/>
        <v>16000</v>
      </c>
      <c r="AV108" s="22">
        <v>0</v>
      </c>
      <c r="AW108" s="24"/>
      <c r="AX108" s="34"/>
      <c r="AY108" s="15"/>
      <c r="AZ108" s="26"/>
      <c r="BA108" s="27">
        <f t="shared" si="6"/>
        <v>1.8189894035458565E-12</v>
      </c>
      <c r="BB108" s="14"/>
      <c r="BC108" s="28"/>
    </row>
    <row r="109" spans="1:55" ht="28.8" x14ac:dyDescent="0.4">
      <c r="A109" s="15">
        <v>108</v>
      </c>
      <c r="B109" s="16">
        <v>80682</v>
      </c>
      <c r="C109" s="17" t="s">
        <v>32</v>
      </c>
      <c r="D109" s="16" t="s">
        <v>229</v>
      </c>
      <c r="E109" s="16" t="s">
        <v>230</v>
      </c>
      <c r="F109" s="16">
        <v>30</v>
      </c>
      <c r="G109" s="16">
        <v>30</v>
      </c>
      <c r="H109" s="18">
        <f t="shared" si="0"/>
        <v>0</v>
      </c>
      <c r="I109" s="19">
        <f t="shared" si="1"/>
        <v>0</v>
      </c>
      <c r="J109" s="16">
        <v>0</v>
      </c>
      <c r="K109" s="20">
        <v>0</v>
      </c>
      <c r="L109" s="21"/>
      <c r="M109" s="21"/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22">
        <v>16000</v>
      </c>
      <c r="T109" s="19">
        <f t="shared" si="2"/>
        <v>0</v>
      </c>
      <c r="U109" s="19">
        <f t="shared" si="3"/>
        <v>16000</v>
      </c>
      <c r="V109" s="22">
        <v>16000</v>
      </c>
      <c r="W109" s="31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>
        <v>2000</v>
      </c>
      <c r="AG109" s="22">
        <v>0</v>
      </c>
      <c r="AH109" s="22">
        <v>0</v>
      </c>
      <c r="AI109" s="22">
        <v>1500</v>
      </c>
      <c r="AJ109" s="22">
        <v>12500</v>
      </c>
      <c r="AK109" s="22">
        <v>0</v>
      </c>
      <c r="AL109" s="22">
        <v>0</v>
      </c>
      <c r="AM109" s="22">
        <v>0</v>
      </c>
      <c r="AN109" s="22">
        <v>0</v>
      </c>
      <c r="AO109" s="22">
        <v>0</v>
      </c>
      <c r="AP109" s="22">
        <v>0</v>
      </c>
      <c r="AQ109" s="22">
        <v>0</v>
      </c>
      <c r="AR109" s="22">
        <v>0</v>
      </c>
      <c r="AS109" s="22">
        <v>0</v>
      </c>
      <c r="AT109" s="22">
        <v>0</v>
      </c>
      <c r="AU109" s="19">
        <f t="shared" si="4"/>
        <v>16000</v>
      </c>
      <c r="AV109" s="22">
        <v>0</v>
      </c>
      <c r="AW109" s="24"/>
      <c r="AX109" s="34"/>
      <c r="AY109" s="15"/>
      <c r="AZ109" s="26"/>
      <c r="BA109" s="27">
        <f t="shared" si="6"/>
        <v>1.8189894035458565E-12</v>
      </c>
      <c r="BB109" s="14"/>
      <c r="BC109" s="28"/>
    </row>
    <row r="110" spans="1:55" ht="42.6" x14ac:dyDescent="0.4">
      <c r="A110" s="15">
        <v>109</v>
      </c>
      <c r="B110" s="16">
        <v>80689</v>
      </c>
      <c r="C110" s="17" t="s">
        <v>32</v>
      </c>
      <c r="D110" s="16" t="s">
        <v>221</v>
      </c>
      <c r="E110" s="16" t="s">
        <v>231</v>
      </c>
      <c r="F110" s="16">
        <v>30</v>
      </c>
      <c r="G110" s="16">
        <v>29</v>
      </c>
      <c r="H110" s="18">
        <f t="shared" si="0"/>
        <v>1</v>
      </c>
      <c r="I110" s="19">
        <f t="shared" si="1"/>
        <v>533.33333333333337</v>
      </c>
      <c r="J110" s="16">
        <v>0</v>
      </c>
      <c r="K110" s="20">
        <v>0</v>
      </c>
      <c r="L110" s="21"/>
      <c r="M110" s="21"/>
      <c r="N110" s="16">
        <v>0</v>
      </c>
      <c r="O110" s="16">
        <v>0</v>
      </c>
      <c r="P110" s="16">
        <v>1</v>
      </c>
      <c r="Q110" s="16">
        <v>0</v>
      </c>
      <c r="R110" s="16">
        <v>0</v>
      </c>
      <c r="S110" s="22">
        <v>16000</v>
      </c>
      <c r="T110" s="19">
        <f t="shared" si="2"/>
        <v>0</v>
      </c>
      <c r="U110" s="19">
        <f t="shared" si="3"/>
        <v>15467</v>
      </c>
      <c r="V110" s="22">
        <v>15467</v>
      </c>
      <c r="W110" s="31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  <c r="AH110" s="22">
        <v>0</v>
      </c>
      <c r="AI110" s="22">
        <v>1446</v>
      </c>
      <c r="AJ110" s="22">
        <v>14020</v>
      </c>
      <c r="AK110" s="22">
        <v>0</v>
      </c>
      <c r="AL110" s="22">
        <v>0</v>
      </c>
      <c r="AM110" s="22">
        <v>0</v>
      </c>
      <c r="AN110" s="22">
        <v>0</v>
      </c>
      <c r="AO110" s="22">
        <v>0</v>
      </c>
      <c r="AP110" s="22">
        <v>0</v>
      </c>
      <c r="AQ110" s="22">
        <v>0</v>
      </c>
      <c r="AR110" s="22">
        <v>0</v>
      </c>
      <c r="AS110" s="22">
        <v>0</v>
      </c>
      <c r="AT110" s="22">
        <v>0</v>
      </c>
      <c r="AU110" s="19">
        <f t="shared" si="4"/>
        <v>15466</v>
      </c>
      <c r="AV110" s="22">
        <v>0</v>
      </c>
      <c r="AW110" s="24"/>
      <c r="AX110" s="34"/>
      <c r="AY110" s="15"/>
      <c r="AZ110" s="26"/>
      <c r="BA110" s="27">
        <f t="shared" si="6"/>
        <v>0.66666666666787933</v>
      </c>
      <c r="BB110" s="14"/>
      <c r="BC110" s="28"/>
    </row>
    <row r="111" spans="1:55" ht="28.8" x14ac:dyDescent="0.4">
      <c r="A111" s="15">
        <v>110</v>
      </c>
      <c r="B111" s="16">
        <v>80716</v>
      </c>
      <c r="C111" s="17" t="s">
        <v>32</v>
      </c>
      <c r="D111" s="16" t="s">
        <v>232</v>
      </c>
      <c r="E111" s="16" t="s">
        <v>233</v>
      </c>
      <c r="F111" s="16">
        <v>30</v>
      </c>
      <c r="G111" s="16">
        <v>30</v>
      </c>
      <c r="H111" s="18">
        <f t="shared" si="0"/>
        <v>0</v>
      </c>
      <c r="I111" s="19">
        <f t="shared" si="1"/>
        <v>0</v>
      </c>
      <c r="J111" s="16">
        <v>0</v>
      </c>
      <c r="K111" s="20">
        <v>0</v>
      </c>
      <c r="L111" s="21"/>
      <c r="M111" s="21"/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22">
        <v>16000</v>
      </c>
      <c r="T111" s="19">
        <f t="shared" si="2"/>
        <v>0</v>
      </c>
      <c r="U111" s="19">
        <f t="shared" si="3"/>
        <v>16000</v>
      </c>
      <c r="V111" s="22">
        <v>16000</v>
      </c>
      <c r="W111" s="31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v>2000</v>
      </c>
      <c r="AG111" s="22">
        <v>0</v>
      </c>
      <c r="AH111" s="22">
        <v>0</v>
      </c>
      <c r="AI111" s="22">
        <v>1500</v>
      </c>
      <c r="AJ111" s="22">
        <v>12500</v>
      </c>
      <c r="AK111" s="22">
        <v>0</v>
      </c>
      <c r="AL111" s="22">
        <v>0</v>
      </c>
      <c r="AM111" s="22">
        <v>0</v>
      </c>
      <c r="AN111" s="22">
        <v>0</v>
      </c>
      <c r="AO111" s="22">
        <v>0</v>
      </c>
      <c r="AP111" s="22">
        <v>0</v>
      </c>
      <c r="AQ111" s="22">
        <v>0</v>
      </c>
      <c r="AR111" s="22">
        <v>0</v>
      </c>
      <c r="AS111" s="22">
        <v>0</v>
      </c>
      <c r="AT111" s="22">
        <v>0</v>
      </c>
      <c r="AU111" s="19">
        <f t="shared" si="4"/>
        <v>16000</v>
      </c>
      <c r="AV111" s="22">
        <v>0</v>
      </c>
      <c r="AW111" s="24"/>
      <c r="AX111" s="34"/>
      <c r="AY111" s="15"/>
      <c r="AZ111" s="26"/>
      <c r="BA111" s="27">
        <f t="shared" si="6"/>
        <v>1.8189894035458565E-12</v>
      </c>
      <c r="BB111" s="14"/>
      <c r="BC111" s="28"/>
    </row>
    <row r="112" spans="1:55" ht="28.8" x14ac:dyDescent="0.4">
      <c r="A112" s="15">
        <v>111</v>
      </c>
      <c r="B112" s="16">
        <v>28001</v>
      </c>
      <c r="C112" s="17" t="s">
        <v>234</v>
      </c>
      <c r="D112" s="16" t="s">
        <v>235</v>
      </c>
      <c r="E112" s="16" t="s">
        <v>236</v>
      </c>
      <c r="F112" s="16">
        <v>30</v>
      </c>
      <c r="G112" s="16">
        <v>29</v>
      </c>
      <c r="H112" s="18">
        <f t="shared" si="0"/>
        <v>1</v>
      </c>
      <c r="I112" s="19">
        <f t="shared" si="1"/>
        <v>2000</v>
      </c>
      <c r="J112" s="16">
        <v>0</v>
      </c>
      <c r="K112" s="20">
        <v>0</v>
      </c>
      <c r="L112" s="21"/>
      <c r="M112" s="21"/>
      <c r="N112" s="16">
        <v>0</v>
      </c>
      <c r="O112" s="16">
        <v>0</v>
      </c>
      <c r="P112" s="16">
        <v>1</v>
      </c>
      <c r="Q112" s="16">
        <v>0</v>
      </c>
      <c r="R112" s="16">
        <v>0</v>
      </c>
      <c r="S112" s="22">
        <v>60000</v>
      </c>
      <c r="T112" s="19">
        <f t="shared" si="2"/>
        <v>0</v>
      </c>
      <c r="U112" s="19">
        <f t="shared" si="3"/>
        <v>58000</v>
      </c>
      <c r="V112" s="22">
        <v>58000</v>
      </c>
      <c r="W112" s="31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v>0</v>
      </c>
      <c r="AG112" s="22">
        <v>0</v>
      </c>
      <c r="AH112" s="22">
        <v>0</v>
      </c>
      <c r="AI112" s="22">
        <v>1015</v>
      </c>
      <c r="AJ112" s="22">
        <v>0</v>
      </c>
      <c r="AK112" s="22">
        <v>0</v>
      </c>
      <c r="AL112" s="22">
        <v>0</v>
      </c>
      <c r="AM112" s="22">
        <v>0</v>
      </c>
      <c r="AN112" s="22">
        <v>0</v>
      </c>
      <c r="AO112" s="22">
        <v>0</v>
      </c>
      <c r="AP112" s="22">
        <v>0</v>
      </c>
      <c r="AQ112" s="22">
        <v>0</v>
      </c>
      <c r="AR112" s="22">
        <v>0</v>
      </c>
      <c r="AS112" s="22">
        <v>0</v>
      </c>
      <c r="AT112" s="22">
        <v>0</v>
      </c>
      <c r="AU112" s="19">
        <f t="shared" si="4"/>
        <v>1015</v>
      </c>
      <c r="AV112" s="22">
        <v>56985</v>
      </c>
      <c r="AW112" s="24" t="s">
        <v>54</v>
      </c>
      <c r="AX112" s="25">
        <v>45790</v>
      </c>
      <c r="AY112" s="15"/>
      <c r="AZ112" s="26"/>
      <c r="BA112" s="27">
        <f t="shared" si="6"/>
        <v>0</v>
      </c>
      <c r="BB112" s="14"/>
      <c r="BC112" s="28"/>
    </row>
    <row r="113" spans="1:55" ht="28.8" x14ac:dyDescent="0.4">
      <c r="A113" s="15">
        <v>112</v>
      </c>
      <c r="B113" s="16">
        <v>28002</v>
      </c>
      <c r="C113" s="17" t="s">
        <v>234</v>
      </c>
      <c r="D113" s="16" t="s">
        <v>235</v>
      </c>
      <c r="E113" s="16" t="s">
        <v>237</v>
      </c>
      <c r="F113" s="16">
        <v>30</v>
      </c>
      <c r="G113" s="16">
        <v>30</v>
      </c>
      <c r="H113" s="18">
        <f t="shared" si="0"/>
        <v>0</v>
      </c>
      <c r="I113" s="19">
        <f t="shared" si="1"/>
        <v>0</v>
      </c>
      <c r="J113" s="16">
        <v>0</v>
      </c>
      <c r="K113" s="20">
        <v>0</v>
      </c>
      <c r="L113" s="21"/>
      <c r="M113" s="21"/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22">
        <v>40000</v>
      </c>
      <c r="T113" s="19">
        <f t="shared" si="2"/>
        <v>0</v>
      </c>
      <c r="U113" s="19">
        <f t="shared" si="3"/>
        <v>40000</v>
      </c>
      <c r="V113" s="22">
        <v>40000</v>
      </c>
      <c r="W113" s="31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  <c r="AH113" s="22">
        <v>0</v>
      </c>
      <c r="AI113" s="22">
        <v>1050</v>
      </c>
      <c r="AJ113" s="22">
        <v>0</v>
      </c>
      <c r="AK113" s="22">
        <v>0</v>
      </c>
      <c r="AL113" s="22">
        <v>0</v>
      </c>
      <c r="AM113" s="22">
        <v>0</v>
      </c>
      <c r="AN113" s="22">
        <v>0</v>
      </c>
      <c r="AO113" s="22">
        <v>0</v>
      </c>
      <c r="AP113" s="22">
        <v>0</v>
      </c>
      <c r="AQ113" s="22">
        <v>0</v>
      </c>
      <c r="AR113" s="22">
        <v>0</v>
      </c>
      <c r="AS113" s="22">
        <v>0</v>
      </c>
      <c r="AT113" s="22">
        <v>0</v>
      </c>
      <c r="AU113" s="19">
        <f t="shared" si="4"/>
        <v>1050</v>
      </c>
      <c r="AV113" s="22">
        <f>40000-1050</f>
        <v>38950</v>
      </c>
      <c r="AW113" s="24" t="s">
        <v>54</v>
      </c>
      <c r="AX113" s="25">
        <v>45791</v>
      </c>
      <c r="AY113" s="15"/>
      <c r="AZ113" s="26"/>
      <c r="BA113" s="27">
        <f t="shared" si="6"/>
        <v>0</v>
      </c>
      <c r="BB113" s="14"/>
      <c r="BC113" s="28"/>
    </row>
    <row r="114" spans="1:55" ht="28.8" x14ac:dyDescent="0.4">
      <c r="A114" s="15">
        <v>113</v>
      </c>
      <c r="B114" s="16">
        <v>29056</v>
      </c>
      <c r="C114" s="17" t="s">
        <v>234</v>
      </c>
      <c r="D114" s="16" t="s">
        <v>238</v>
      </c>
      <c r="E114" s="16" t="s">
        <v>239</v>
      </c>
      <c r="F114" s="16">
        <v>30</v>
      </c>
      <c r="G114" s="16">
        <v>30</v>
      </c>
      <c r="H114" s="18">
        <f t="shared" si="0"/>
        <v>0</v>
      </c>
      <c r="I114" s="19">
        <f t="shared" si="1"/>
        <v>0</v>
      </c>
      <c r="J114" s="16">
        <v>0</v>
      </c>
      <c r="K114" s="20">
        <v>0</v>
      </c>
      <c r="L114" s="21"/>
      <c r="M114" s="21"/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32">
        <v>36300</v>
      </c>
      <c r="T114" s="19">
        <f t="shared" si="2"/>
        <v>0</v>
      </c>
      <c r="U114" s="19">
        <f t="shared" si="3"/>
        <v>36300</v>
      </c>
      <c r="V114" s="22">
        <v>36300</v>
      </c>
      <c r="W114" s="31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  <c r="AH114" s="22">
        <v>0</v>
      </c>
      <c r="AI114" s="22">
        <v>1050</v>
      </c>
      <c r="AJ114" s="22">
        <v>0</v>
      </c>
      <c r="AK114" s="22">
        <v>0</v>
      </c>
      <c r="AL114" s="22">
        <v>0</v>
      </c>
      <c r="AM114" s="22">
        <v>0</v>
      </c>
      <c r="AN114" s="22">
        <v>0</v>
      </c>
      <c r="AO114" s="22">
        <v>0</v>
      </c>
      <c r="AP114" s="22">
        <v>0</v>
      </c>
      <c r="AQ114" s="22">
        <v>0</v>
      </c>
      <c r="AR114" s="22">
        <v>0</v>
      </c>
      <c r="AS114" s="22">
        <v>0</v>
      </c>
      <c r="AT114" s="22">
        <v>0</v>
      </c>
      <c r="AU114" s="19">
        <f t="shared" si="4"/>
        <v>1050</v>
      </c>
      <c r="AV114" s="22">
        <f>36300-1050</f>
        <v>35250</v>
      </c>
      <c r="AW114" s="24" t="s">
        <v>54</v>
      </c>
      <c r="AX114" s="25">
        <v>45791</v>
      </c>
      <c r="AY114" s="15"/>
      <c r="AZ114" s="26"/>
      <c r="BA114" s="27">
        <f t="shared" si="6"/>
        <v>0</v>
      </c>
      <c r="BB114" s="14"/>
      <c r="BC114" s="28"/>
    </row>
    <row r="115" spans="1:55" ht="21" x14ac:dyDescent="0.4">
      <c r="A115" s="15">
        <v>114</v>
      </c>
      <c r="B115" s="16">
        <v>30048</v>
      </c>
      <c r="C115" s="17" t="s">
        <v>234</v>
      </c>
      <c r="D115" s="16" t="s">
        <v>238</v>
      </c>
      <c r="E115" s="16" t="s">
        <v>240</v>
      </c>
      <c r="F115" s="16">
        <v>30</v>
      </c>
      <c r="G115" s="16">
        <v>29</v>
      </c>
      <c r="H115" s="18">
        <f t="shared" si="0"/>
        <v>1</v>
      </c>
      <c r="I115" s="19">
        <f t="shared" si="1"/>
        <v>1100</v>
      </c>
      <c r="J115" s="16">
        <v>0</v>
      </c>
      <c r="K115" s="20">
        <v>0</v>
      </c>
      <c r="L115" s="21"/>
      <c r="M115" s="21"/>
      <c r="N115" s="16">
        <v>0</v>
      </c>
      <c r="O115" s="16">
        <v>0</v>
      </c>
      <c r="P115" s="16">
        <v>1</v>
      </c>
      <c r="Q115" s="16">
        <v>0</v>
      </c>
      <c r="R115" s="16">
        <v>0</v>
      </c>
      <c r="S115" s="32">
        <v>33000</v>
      </c>
      <c r="T115" s="19">
        <f t="shared" si="2"/>
        <v>0</v>
      </c>
      <c r="U115" s="19">
        <f t="shared" si="3"/>
        <v>31900</v>
      </c>
      <c r="V115" s="22">
        <v>31900</v>
      </c>
      <c r="W115" s="31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15000</v>
      </c>
      <c r="AG115" s="22">
        <v>0</v>
      </c>
      <c r="AH115" s="22">
        <v>0</v>
      </c>
      <c r="AI115" s="22">
        <v>1015</v>
      </c>
      <c r="AJ115" s="22">
        <v>0</v>
      </c>
      <c r="AK115" s="22">
        <v>0</v>
      </c>
      <c r="AL115" s="22">
        <v>0</v>
      </c>
      <c r="AM115" s="22">
        <v>0</v>
      </c>
      <c r="AN115" s="22">
        <v>0</v>
      </c>
      <c r="AO115" s="22">
        <v>0</v>
      </c>
      <c r="AP115" s="22">
        <v>0</v>
      </c>
      <c r="AQ115" s="22">
        <v>0</v>
      </c>
      <c r="AR115" s="22">
        <v>0</v>
      </c>
      <c r="AS115" s="22">
        <v>0</v>
      </c>
      <c r="AT115" s="22">
        <v>0</v>
      </c>
      <c r="AU115" s="19">
        <f t="shared" si="4"/>
        <v>16015</v>
      </c>
      <c r="AV115" s="22">
        <v>15885</v>
      </c>
      <c r="AW115" s="24" t="s">
        <v>54</v>
      </c>
      <c r="AX115" s="25">
        <v>45790</v>
      </c>
      <c r="AY115" s="15"/>
      <c r="AZ115" s="26"/>
      <c r="BA115" s="27">
        <f t="shared" si="6"/>
        <v>0</v>
      </c>
      <c r="BB115" s="14"/>
      <c r="BC115" s="28"/>
    </row>
    <row r="116" spans="1:55" ht="28.8" x14ac:dyDescent="0.4">
      <c r="A116" s="15">
        <v>115</v>
      </c>
      <c r="B116" s="16">
        <v>30052</v>
      </c>
      <c r="C116" s="17" t="s">
        <v>234</v>
      </c>
      <c r="D116" s="16" t="s">
        <v>241</v>
      </c>
      <c r="E116" s="16" t="s">
        <v>242</v>
      </c>
      <c r="F116" s="16">
        <v>30</v>
      </c>
      <c r="G116" s="16">
        <v>28</v>
      </c>
      <c r="H116" s="18">
        <f t="shared" si="0"/>
        <v>2</v>
      </c>
      <c r="I116" s="19">
        <f t="shared" si="1"/>
        <v>2000</v>
      </c>
      <c r="J116" s="16">
        <v>0</v>
      </c>
      <c r="K116" s="20">
        <v>0</v>
      </c>
      <c r="L116" s="21"/>
      <c r="M116" s="21"/>
      <c r="N116" s="16">
        <v>0</v>
      </c>
      <c r="O116" s="16">
        <v>0</v>
      </c>
      <c r="P116" s="16">
        <v>2</v>
      </c>
      <c r="Q116" s="16">
        <v>0</v>
      </c>
      <c r="R116" s="16">
        <v>0</v>
      </c>
      <c r="S116" s="22">
        <v>30000</v>
      </c>
      <c r="T116" s="19">
        <f t="shared" si="2"/>
        <v>0</v>
      </c>
      <c r="U116" s="19">
        <f t="shared" si="3"/>
        <v>28000</v>
      </c>
      <c r="V116" s="22">
        <v>28000</v>
      </c>
      <c r="W116" s="31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5000</v>
      </c>
      <c r="AG116" s="22">
        <v>0</v>
      </c>
      <c r="AH116" s="22">
        <v>0</v>
      </c>
      <c r="AI116" s="22">
        <v>980</v>
      </c>
      <c r="AJ116" s="22">
        <v>0</v>
      </c>
      <c r="AK116" s="22">
        <v>0</v>
      </c>
      <c r="AL116" s="22">
        <v>0</v>
      </c>
      <c r="AM116" s="22">
        <v>0</v>
      </c>
      <c r="AN116" s="22">
        <v>0</v>
      </c>
      <c r="AO116" s="22">
        <v>0</v>
      </c>
      <c r="AP116" s="22">
        <v>0</v>
      </c>
      <c r="AQ116" s="22">
        <v>0</v>
      </c>
      <c r="AR116" s="22">
        <v>0</v>
      </c>
      <c r="AS116" s="22">
        <v>0</v>
      </c>
      <c r="AT116" s="22">
        <v>0</v>
      </c>
      <c r="AU116" s="19">
        <f t="shared" si="4"/>
        <v>5980</v>
      </c>
      <c r="AV116" s="22">
        <v>22020</v>
      </c>
      <c r="AW116" s="24" t="s">
        <v>54</v>
      </c>
      <c r="AX116" s="25">
        <v>45789</v>
      </c>
      <c r="AY116" s="15"/>
      <c r="AZ116" s="26"/>
      <c r="BA116" s="27">
        <f t="shared" si="6"/>
        <v>0</v>
      </c>
      <c r="BB116" s="14"/>
      <c r="BC116" s="28"/>
    </row>
    <row r="117" spans="1:55" ht="28.8" x14ac:dyDescent="0.4">
      <c r="A117" s="15">
        <v>116</v>
      </c>
      <c r="B117" s="16">
        <v>30064</v>
      </c>
      <c r="C117" s="17" t="s">
        <v>234</v>
      </c>
      <c r="D117" s="16" t="s">
        <v>243</v>
      </c>
      <c r="E117" s="16" t="s">
        <v>244</v>
      </c>
      <c r="F117" s="16">
        <v>30</v>
      </c>
      <c r="G117" s="16">
        <v>30</v>
      </c>
      <c r="H117" s="18">
        <f t="shared" si="0"/>
        <v>0</v>
      </c>
      <c r="I117" s="19">
        <f t="shared" si="1"/>
        <v>0</v>
      </c>
      <c r="J117" s="16">
        <v>0</v>
      </c>
      <c r="K117" s="20">
        <v>0</v>
      </c>
      <c r="L117" s="21"/>
      <c r="M117" s="21"/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32">
        <v>45000</v>
      </c>
      <c r="T117" s="19">
        <f t="shared" si="2"/>
        <v>0</v>
      </c>
      <c r="U117" s="19">
        <f t="shared" si="3"/>
        <v>45000</v>
      </c>
      <c r="V117" s="22">
        <v>45000</v>
      </c>
      <c r="W117" s="31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7000</v>
      </c>
      <c r="AG117" s="22">
        <v>0</v>
      </c>
      <c r="AH117" s="22">
        <v>0</v>
      </c>
      <c r="AI117" s="22">
        <v>1050</v>
      </c>
      <c r="AJ117" s="22">
        <v>0</v>
      </c>
      <c r="AK117" s="22">
        <v>0</v>
      </c>
      <c r="AL117" s="22">
        <v>0</v>
      </c>
      <c r="AM117" s="22">
        <v>0</v>
      </c>
      <c r="AN117" s="22">
        <v>0</v>
      </c>
      <c r="AO117" s="22">
        <v>0</v>
      </c>
      <c r="AP117" s="22">
        <v>0</v>
      </c>
      <c r="AQ117" s="22">
        <v>0</v>
      </c>
      <c r="AR117" s="22">
        <v>0</v>
      </c>
      <c r="AS117" s="22">
        <v>0</v>
      </c>
      <c r="AT117" s="22">
        <v>0</v>
      </c>
      <c r="AU117" s="19">
        <f t="shared" si="4"/>
        <v>8050</v>
      </c>
      <c r="AV117" s="22">
        <f>38000-1050</f>
        <v>36950</v>
      </c>
      <c r="AW117" s="24" t="s">
        <v>54</v>
      </c>
      <c r="AX117" s="25">
        <v>45790</v>
      </c>
      <c r="AY117" s="15"/>
      <c r="AZ117" s="26"/>
      <c r="BA117" s="27">
        <f t="shared" si="6"/>
        <v>0</v>
      </c>
      <c r="BB117" s="14"/>
      <c r="BC117" s="28"/>
    </row>
    <row r="118" spans="1:55" ht="21" x14ac:dyDescent="0.4">
      <c r="A118" s="15">
        <v>117</v>
      </c>
      <c r="B118" s="16">
        <v>33009</v>
      </c>
      <c r="C118" s="17" t="s">
        <v>234</v>
      </c>
      <c r="D118" s="16" t="s">
        <v>238</v>
      </c>
      <c r="E118" s="16" t="s">
        <v>245</v>
      </c>
      <c r="F118" s="16">
        <v>30</v>
      </c>
      <c r="G118" s="16">
        <v>29</v>
      </c>
      <c r="H118" s="18">
        <f t="shared" si="0"/>
        <v>1</v>
      </c>
      <c r="I118" s="19">
        <f t="shared" si="1"/>
        <v>1210</v>
      </c>
      <c r="J118" s="16">
        <v>0</v>
      </c>
      <c r="K118" s="20">
        <v>0</v>
      </c>
      <c r="L118" s="21"/>
      <c r="M118" s="21"/>
      <c r="N118" s="16">
        <v>0</v>
      </c>
      <c r="O118" s="16">
        <v>0</v>
      </c>
      <c r="P118" s="16">
        <v>1</v>
      </c>
      <c r="Q118" s="16">
        <v>0</v>
      </c>
      <c r="R118" s="16">
        <v>0</v>
      </c>
      <c r="S118" s="32">
        <v>36300</v>
      </c>
      <c r="T118" s="19">
        <f t="shared" si="2"/>
        <v>0</v>
      </c>
      <c r="U118" s="19">
        <f t="shared" si="3"/>
        <v>35090</v>
      </c>
      <c r="V118" s="22">
        <v>35090</v>
      </c>
      <c r="W118" s="31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22">
        <v>5000</v>
      </c>
      <c r="AG118" s="22">
        <v>0</v>
      </c>
      <c r="AH118" s="22">
        <v>0</v>
      </c>
      <c r="AI118" s="22">
        <v>1015</v>
      </c>
      <c r="AJ118" s="22">
        <v>0</v>
      </c>
      <c r="AK118" s="22">
        <v>0</v>
      </c>
      <c r="AL118" s="22">
        <v>0</v>
      </c>
      <c r="AM118" s="22">
        <v>0</v>
      </c>
      <c r="AN118" s="22">
        <v>0</v>
      </c>
      <c r="AO118" s="22">
        <v>0</v>
      </c>
      <c r="AP118" s="22">
        <v>0</v>
      </c>
      <c r="AQ118" s="22">
        <v>0</v>
      </c>
      <c r="AR118" s="22">
        <v>0</v>
      </c>
      <c r="AS118" s="22">
        <v>0</v>
      </c>
      <c r="AT118" s="22">
        <v>0</v>
      </c>
      <c r="AU118" s="19">
        <f t="shared" si="4"/>
        <v>6015</v>
      </c>
      <c r="AV118" s="22">
        <v>29075</v>
      </c>
      <c r="AW118" s="24" t="s">
        <v>54</v>
      </c>
      <c r="AX118" s="25">
        <v>45790</v>
      </c>
      <c r="AY118" s="15"/>
      <c r="AZ118" s="26"/>
      <c r="BA118" s="27">
        <f t="shared" si="6"/>
        <v>0</v>
      </c>
      <c r="BB118" s="14"/>
      <c r="BC118" s="28"/>
    </row>
    <row r="119" spans="1:55" ht="42.6" x14ac:dyDescent="0.4">
      <c r="A119" s="15">
        <v>118</v>
      </c>
      <c r="B119" s="16">
        <v>33015</v>
      </c>
      <c r="C119" s="17" t="s">
        <v>234</v>
      </c>
      <c r="D119" s="16" t="s">
        <v>238</v>
      </c>
      <c r="E119" s="16" t="s">
        <v>246</v>
      </c>
      <c r="F119" s="16">
        <v>30</v>
      </c>
      <c r="G119" s="16">
        <v>29</v>
      </c>
      <c r="H119" s="18">
        <f t="shared" si="0"/>
        <v>1</v>
      </c>
      <c r="I119" s="19">
        <f t="shared" si="1"/>
        <v>1000</v>
      </c>
      <c r="J119" s="16">
        <v>0</v>
      </c>
      <c r="K119" s="20">
        <v>0</v>
      </c>
      <c r="L119" s="21"/>
      <c r="M119" s="21"/>
      <c r="N119" s="16">
        <v>0</v>
      </c>
      <c r="O119" s="16">
        <v>0</v>
      </c>
      <c r="P119" s="16">
        <v>1</v>
      </c>
      <c r="Q119" s="16">
        <v>0</v>
      </c>
      <c r="R119" s="16">
        <v>0</v>
      </c>
      <c r="S119" s="22">
        <v>30000</v>
      </c>
      <c r="T119" s="19">
        <f t="shared" si="2"/>
        <v>0</v>
      </c>
      <c r="U119" s="19">
        <f t="shared" si="3"/>
        <v>29000</v>
      </c>
      <c r="V119" s="22">
        <v>29000</v>
      </c>
      <c r="W119" s="31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5000</v>
      </c>
      <c r="AG119" s="22">
        <v>0</v>
      </c>
      <c r="AH119" s="22">
        <v>0</v>
      </c>
      <c r="AI119" s="22">
        <v>1015</v>
      </c>
      <c r="AJ119" s="22">
        <v>0</v>
      </c>
      <c r="AK119" s="22">
        <v>0</v>
      </c>
      <c r="AL119" s="22">
        <v>0</v>
      </c>
      <c r="AM119" s="22">
        <v>0</v>
      </c>
      <c r="AN119" s="22">
        <v>0</v>
      </c>
      <c r="AO119" s="22">
        <v>0</v>
      </c>
      <c r="AP119" s="22">
        <v>0</v>
      </c>
      <c r="AQ119" s="22">
        <v>0</v>
      </c>
      <c r="AR119" s="22">
        <v>0</v>
      </c>
      <c r="AS119" s="22">
        <v>0</v>
      </c>
      <c r="AT119" s="22">
        <v>0</v>
      </c>
      <c r="AU119" s="19">
        <f t="shared" si="4"/>
        <v>6015</v>
      </c>
      <c r="AV119" s="22">
        <v>22985</v>
      </c>
      <c r="AW119" s="24" t="s">
        <v>54</v>
      </c>
      <c r="AX119" s="25">
        <v>45790</v>
      </c>
      <c r="AY119" s="15"/>
      <c r="AZ119" s="26"/>
      <c r="BA119" s="27">
        <f t="shared" si="6"/>
        <v>0</v>
      </c>
      <c r="BB119" s="14"/>
      <c r="BC119" s="28"/>
    </row>
    <row r="120" spans="1:55" ht="28.8" x14ac:dyDescent="0.4">
      <c r="A120" s="15">
        <v>119</v>
      </c>
      <c r="B120" s="16">
        <v>28087</v>
      </c>
      <c r="C120" s="17" t="s">
        <v>234</v>
      </c>
      <c r="D120" s="16" t="s">
        <v>238</v>
      </c>
      <c r="E120" s="16" t="s">
        <v>247</v>
      </c>
      <c r="F120" s="16">
        <v>30</v>
      </c>
      <c r="G120" s="16">
        <v>30</v>
      </c>
      <c r="H120" s="18">
        <f t="shared" si="0"/>
        <v>0</v>
      </c>
      <c r="I120" s="19">
        <f t="shared" si="1"/>
        <v>0</v>
      </c>
      <c r="J120" s="16">
        <v>9</v>
      </c>
      <c r="K120" s="20">
        <v>4</v>
      </c>
      <c r="L120" s="21"/>
      <c r="M120" s="21"/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32">
        <v>33000</v>
      </c>
      <c r="T120" s="19">
        <f t="shared" si="2"/>
        <v>4400</v>
      </c>
      <c r="U120" s="19">
        <f t="shared" si="3"/>
        <v>28600</v>
      </c>
      <c r="V120" s="22">
        <v>23100</v>
      </c>
      <c r="W120" s="31">
        <v>5500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3000</v>
      </c>
      <c r="AG120" s="22">
        <v>0</v>
      </c>
      <c r="AH120" s="22">
        <v>0</v>
      </c>
      <c r="AI120" s="22">
        <v>1050</v>
      </c>
      <c r="AJ120" s="22">
        <v>0</v>
      </c>
      <c r="AK120" s="22">
        <v>0</v>
      </c>
      <c r="AL120" s="22">
        <v>0</v>
      </c>
      <c r="AM120" s="22">
        <v>0</v>
      </c>
      <c r="AN120" s="22">
        <v>0</v>
      </c>
      <c r="AO120" s="22">
        <v>0</v>
      </c>
      <c r="AP120" s="22">
        <v>0</v>
      </c>
      <c r="AQ120" s="22">
        <v>0</v>
      </c>
      <c r="AR120" s="22">
        <v>0</v>
      </c>
      <c r="AS120" s="22">
        <v>0</v>
      </c>
      <c r="AT120" s="22">
        <v>0</v>
      </c>
      <c r="AU120" s="19">
        <f t="shared" si="4"/>
        <v>4050</v>
      </c>
      <c r="AV120" s="22">
        <f>23567+2033-1050</f>
        <v>24550</v>
      </c>
      <c r="AW120" s="24" t="s">
        <v>54</v>
      </c>
      <c r="AX120" s="25">
        <v>45791</v>
      </c>
      <c r="AY120" s="15"/>
      <c r="AZ120" s="26"/>
      <c r="BA120" s="27">
        <f t="shared" si="6"/>
        <v>0</v>
      </c>
      <c r="BB120" s="14"/>
      <c r="BC120" s="28"/>
    </row>
    <row r="121" spans="1:55" ht="28.8" x14ac:dyDescent="0.4">
      <c r="A121" s="15">
        <v>120</v>
      </c>
      <c r="B121" s="16">
        <v>33071</v>
      </c>
      <c r="C121" s="17" t="s">
        <v>234</v>
      </c>
      <c r="D121" s="16" t="s">
        <v>238</v>
      </c>
      <c r="E121" s="16" t="s">
        <v>248</v>
      </c>
      <c r="F121" s="16">
        <v>30</v>
      </c>
      <c r="G121" s="16">
        <v>30</v>
      </c>
      <c r="H121" s="18">
        <f t="shared" si="0"/>
        <v>0</v>
      </c>
      <c r="I121" s="19">
        <f t="shared" si="1"/>
        <v>0</v>
      </c>
      <c r="J121" s="16">
        <v>0</v>
      </c>
      <c r="K121" s="20">
        <v>0</v>
      </c>
      <c r="L121" s="21"/>
      <c r="M121" s="21"/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32">
        <v>33000</v>
      </c>
      <c r="T121" s="19">
        <f t="shared" si="2"/>
        <v>0</v>
      </c>
      <c r="U121" s="19">
        <f t="shared" si="3"/>
        <v>33000</v>
      </c>
      <c r="V121" s="22">
        <v>33000</v>
      </c>
      <c r="W121" s="31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9366</v>
      </c>
      <c r="AD121" s="22">
        <v>0</v>
      </c>
      <c r="AE121" s="22">
        <v>0</v>
      </c>
      <c r="AF121" s="22">
        <v>3000</v>
      </c>
      <c r="AG121" s="22">
        <v>0</v>
      </c>
      <c r="AH121" s="22">
        <v>0</v>
      </c>
      <c r="AI121" s="22">
        <v>1050</v>
      </c>
      <c r="AJ121" s="22">
        <v>0</v>
      </c>
      <c r="AK121" s="22">
        <v>0</v>
      </c>
      <c r="AL121" s="22">
        <v>0</v>
      </c>
      <c r="AM121" s="22">
        <v>0</v>
      </c>
      <c r="AN121" s="22">
        <v>0</v>
      </c>
      <c r="AO121" s="22">
        <v>0</v>
      </c>
      <c r="AP121" s="22">
        <v>0</v>
      </c>
      <c r="AQ121" s="22">
        <v>0</v>
      </c>
      <c r="AR121" s="22">
        <v>0</v>
      </c>
      <c r="AS121" s="22">
        <v>0</v>
      </c>
      <c r="AT121" s="22">
        <v>0</v>
      </c>
      <c r="AU121" s="19">
        <f t="shared" si="4"/>
        <v>13416</v>
      </c>
      <c r="AV121" s="22">
        <f>20634-1050</f>
        <v>19584</v>
      </c>
      <c r="AW121" s="24" t="s">
        <v>54</v>
      </c>
      <c r="AX121" s="25">
        <v>45790</v>
      </c>
      <c r="AY121" s="15">
        <v>6120</v>
      </c>
      <c r="AZ121" s="26"/>
      <c r="BA121" s="27">
        <f t="shared" si="6"/>
        <v>0</v>
      </c>
      <c r="BB121" s="14"/>
      <c r="BC121" s="28"/>
    </row>
    <row r="122" spans="1:55" ht="21" x14ac:dyDescent="0.4">
      <c r="A122" s="15">
        <v>121</v>
      </c>
      <c r="B122" s="16">
        <v>30123</v>
      </c>
      <c r="C122" s="17" t="s">
        <v>234</v>
      </c>
      <c r="D122" s="16" t="s">
        <v>238</v>
      </c>
      <c r="E122" s="16" t="s">
        <v>249</v>
      </c>
      <c r="F122" s="16">
        <v>30</v>
      </c>
      <c r="G122" s="16">
        <v>29</v>
      </c>
      <c r="H122" s="18">
        <f t="shared" si="0"/>
        <v>1</v>
      </c>
      <c r="I122" s="19">
        <f t="shared" si="1"/>
        <v>1100</v>
      </c>
      <c r="J122" s="16">
        <v>0</v>
      </c>
      <c r="K122" s="20">
        <v>0</v>
      </c>
      <c r="L122" s="21"/>
      <c r="M122" s="21"/>
      <c r="N122" s="16">
        <v>1</v>
      </c>
      <c r="O122" s="16">
        <v>0</v>
      </c>
      <c r="P122" s="16">
        <v>0</v>
      </c>
      <c r="Q122" s="16">
        <v>0</v>
      </c>
      <c r="R122" s="16">
        <v>0</v>
      </c>
      <c r="S122" s="22">
        <v>33000</v>
      </c>
      <c r="T122" s="19">
        <f t="shared" si="2"/>
        <v>0</v>
      </c>
      <c r="U122" s="19">
        <f t="shared" si="3"/>
        <v>32450</v>
      </c>
      <c r="V122" s="22">
        <v>31900</v>
      </c>
      <c r="W122" s="31">
        <v>0</v>
      </c>
      <c r="X122" s="22">
        <v>550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  <c r="AH122" s="22">
        <v>0</v>
      </c>
      <c r="AI122" s="22">
        <v>1015</v>
      </c>
      <c r="AJ122" s="22">
        <v>0</v>
      </c>
      <c r="AK122" s="22">
        <v>0</v>
      </c>
      <c r="AL122" s="22">
        <v>0</v>
      </c>
      <c r="AM122" s="22">
        <v>0</v>
      </c>
      <c r="AN122" s="22">
        <v>0</v>
      </c>
      <c r="AO122" s="22">
        <v>0</v>
      </c>
      <c r="AP122" s="22">
        <v>0</v>
      </c>
      <c r="AQ122" s="22">
        <v>0</v>
      </c>
      <c r="AR122" s="22">
        <v>0</v>
      </c>
      <c r="AS122" s="22">
        <v>0</v>
      </c>
      <c r="AT122" s="22">
        <v>0</v>
      </c>
      <c r="AU122" s="19">
        <f t="shared" si="4"/>
        <v>1015</v>
      </c>
      <c r="AV122" s="22">
        <v>31435</v>
      </c>
      <c r="AW122" s="24" t="s">
        <v>54</v>
      </c>
      <c r="AX122" s="25">
        <v>45789</v>
      </c>
      <c r="AY122" s="15"/>
      <c r="AZ122" s="26"/>
      <c r="BA122" s="27">
        <f t="shared" si="6"/>
        <v>0</v>
      </c>
      <c r="BB122" s="14"/>
      <c r="BC122" s="28"/>
    </row>
    <row r="123" spans="1:55" ht="28.8" x14ac:dyDescent="0.4">
      <c r="A123" s="15">
        <v>122</v>
      </c>
      <c r="B123" s="16">
        <v>33134</v>
      </c>
      <c r="C123" s="17" t="s">
        <v>234</v>
      </c>
      <c r="D123" s="16" t="s">
        <v>235</v>
      </c>
      <c r="E123" s="16" t="s">
        <v>250</v>
      </c>
      <c r="F123" s="16">
        <v>30</v>
      </c>
      <c r="G123" s="16">
        <v>30</v>
      </c>
      <c r="H123" s="18">
        <f t="shared" si="0"/>
        <v>0</v>
      </c>
      <c r="I123" s="19">
        <f t="shared" si="1"/>
        <v>0</v>
      </c>
      <c r="J123" s="16">
        <v>0</v>
      </c>
      <c r="K123" s="20">
        <v>0</v>
      </c>
      <c r="L123" s="21"/>
      <c r="M123" s="21"/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22">
        <v>60000</v>
      </c>
      <c r="T123" s="19">
        <f t="shared" si="2"/>
        <v>0</v>
      </c>
      <c r="U123" s="19">
        <f t="shared" si="3"/>
        <v>60000</v>
      </c>
      <c r="V123" s="22">
        <v>60000</v>
      </c>
      <c r="W123" s="31">
        <v>0</v>
      </c>
      <c r="X123" s="22">
        <v>0</v>
      </c>
      <c r="Y123" s="22">
        <v>0</v>
      </c>
      <c r="Z123" s="22">
        <v>0</v>
      </c>
      <c r="AA123" s="22">
        <v>0</v>
      </c>
      <c r="AB123" s="22">
        <v>0</v>
      </c>
      <c r="AC123" s="22">
        <f>7662-6736</f>
        <v>926</v>
      </c>
      <c r="AD123" s="22">
        <v>0</v>
      </c>
      <c r="AE123" s="22">
        <v>0</v>
      </c>
      <c r="AF123" s="22">
        <v>15000</v>
      </c>
      <c r="AG123" s="22">
        <v>0</v>
      </c>
      <c r="AH123" s="22">
        <v>0</v>
      </c>
      <c r="AI123" s="22">
        <v>1050</v>
      </c>
      <c r="AJ123" s="22">
        <v>0</v>
      </c>
      <c r="AK123" s="22">
        <v>0</v>
      </c>
      <c r="AL123" s="22">
        <v>0</v>
      </c>
      <c r="AM123" s="22">
        <v>0</v>
      </c>
      <c r="AN123" s="22">
        <v>0</v>
      </c>
      <c r="AO123" s="22">
        <v>0</v>
      </c>
      <c r="AP123" s="22">
        <v>0</v>
      </c>
      <c r="AQ123" s="22">
        <v>0</v>
      </c>
      <c r="AR123" s="22">
        <v>0</v>
      </c>
      <c r="AS123" s="22">
        <v>0</v>
      </c>
      <c r="AT123" s="22">
        <v>0</v>
      </c>
      <c r="AU123" s="19">
        <f t="shared" si="4"/>
        <v>16976</v>
      </c>
      <c r="AV123" s="22">
        <f>37338+6736-1050</f>
        <v>43024</v>
      </c>
      <c r="AW123" s="24" t="s">
        <v>54</v>
      </c>
      <c r="AX123" s="25">
        <v>45790</v>
      </c>
      <c r="AY123" s="15"/>
      <c r="AZ123" s="26"/>
      <c r="BA123" s="27">
        <f t="shared" si="6"/>
        <v>0</v>
      </c>
      <c r="BB123" s="14"/>
      <c r="BC123" s="28"/>
    </row>
    <row r="124" spans="1:55" ht="28.8" x14ac:dyDescent="0.4">
      <c r="A124" s="15">
        <v>123</v>
      </c>
      <c r="B124" s="16">
        <v>28063</v>
      </c>
      <c r="C124" s="17" t="s">
        <v>234</v>
      </c>
      <c r="D124" s="16" t="s">
        <v>251</v>
      </c>
      <c r="E124" s="16" t="s">
        <v>252</v>
      </c>
      <c r="F124" s="16">
        <v>30</v>
      </c>
      <c r="G124" s="16">
        <v>30</v>
      </c>
      <c r="H124" s="18">
        <f t="shared" si="0"/>
        <v>0</v>
      </c>
      <c r="I124" s="19">
        <f t="shared" si="1"/>
        <v>0</v>
      </c>
      <c r="J124" s="16">
        <v>0</v>
      </c>
      <c r="K124" s="20">
        <v>0</v>
      </c>
      <c r="L124" s="21"/>
      <c r="M124" s="21"/>
      <c r="N124" s="16">
        <v>0</v>
      </c>
      <c r="O124" s="16">
        <v>0</v>
      </c>
      <c r="P124" s="16">
        <v>0</v>
      </c>
      <c r="Q124" s="16">
        <v>0</v>
      </c>
      <c r="R124" s="16">
        <v>0</v>
      </c>
      <c r="S124" s="32">
        <v>35000</v>
      </c>
      <c r="T124" s="19">
        <f t="shared" si="2"/>
        <v>0</v>
      </c>
      <c r="U124" s="19">
        <f t="shared" si="3"/>
        <v>35000</v>
      </c>
      <c r="V124" s="22">
        <v>35000</v>
      </c>
      <c r="W124" s="31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f>2022-1050</f>
        <v>972</v>
      </c>
      <c r="AD124" s="22">
        <v>0</v>
      </c>
      <c r="AE124" s="22">
        <v>0</v>
      </c>
      <c r="AF124" s="22">
        <v>0</v>
      </c>
      <c r="AG124" s="22">
        <v>0</v>
      </c>
      <c r="AH124" s="22">
        <v>0</v>
      </c>
      <c r="AI124" s="22">
        <v>1050</v>
      </c>
      <c r="AJ124" s="22">
        <v>0</v>
      </c>
      <c r="AK124" s="22">
        <v>0</v>
      </c>
      <c r="AL124" s="22">
        <v>0</v>
      </c>
      <c r="AM124" s="22">
        <v>0</v>
      </c>
      <c r="AN124" s="22">
        <v>0</v>
      </c>
      <c r="AO124" s="22">
        <v>0</v>
      </c>
      <c r="AP124" s="22">
        <v>0</v>
      </c>
      <c r="AQ124" s="22">
        <v>0</v>
      </c>
      <c r="AR124" s="22">
        <v>0</v>
      </c>
      <c r="AS124" s="22">
        <v>0</v>
      </c>
      <c r="AT124" s="22">
        <v>0</v>
      </c>
      <c r="AU124" s="19">
        <f t="shared" si="4"/>
        <v>2022</v>
      </c>
      <c r="AV124" s="22">
        <f>32978-1050+1050</f>
        <v>32978</v>
      </c>
      <c r="AW124" s="24" t="s">
        <v>54</v>
      </c>
      <c r="AX124" s="25">
        <v>45790</v>
      </c>
      <c r="AY124" s="15"/>
      <c r="AZ124" s="26"/>
      <c r="BA124" s="27">
        <f t="shared" si="6"/>
        <v>0</v>
      </c>
      <c r="BB124" s="14"/>
      <c r="BC124" s="28"/>
    </row>
    <row r="125" spans="1:55" ht="28.8" x14ac:dyDescent="0.4">
      <c r="A125" s="15">
        <v>124</v>
      </c>
      <c r="B125" s="16">
        <v>23030</v>
      </c>
      <c r="C125" s="17" t="s">
        <v>234</v>
      </c>
      <c r="D125" s="16" t="s">
        <v>253</v>
      </c>
      <c r="E125" s="16" t="s">
        <v>254</v>
      </c>
      <c r="F125" s="16">
        <v>30</v>
      </c>
      <c r="G125" s="16">
        <v>28</v>
      </c>
      <c r="H125" s="18">
        <f t="shared" si="0"/>
        <v>2</v>
      </c>
      <c r="I125" s="19">
        <f t="shared" si="1"/>
        <v>3666.6666666666665</v>
      </c>
      <c r="J125" s="16">
        <v>1</v>
      </c>
      <c r="K125" s="20">
        <v>0</v>
      </c>
      <c r="L125" s="21"/>
      <c r="M125" s="21"/>
      <c r="N125" s="16">
        <v>0</v>
      </c>
      <c r="O125" s="16">
        <v>0</v>
      </c>
      <c r="P125" s="16">
        <v>2</v>
      </c>
      <c r="Q125" s="16">
        <v>0</v>
      </c>
      <c r="R125" s="16">
        <v>0</v>
      </c>
      <c r="S125" s="22">
        <v>55000</v>
      </c>
      <c r="T125" s="19">
        <f t="shared" si="2"/>
        <v>0</v>
      </c>
      <c r="U125" s="19">
        <f t="shared" si="3"/>
        <v>51333</v>
      </c>
      <c r="V125" s="22">
        <v>49500</v>
      </c>
      <c r="W125" s="31">
        <v>1833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5880</v>
      </c>
      <c r="AD125" s="22">
        <v>0</v>
      </c>
      <c r="AE125" s="22">
        <v>0</v>
      </c>
      <c r="AF125" s="22">
        <v>10000</v>
      </c>
      <c r="AG125" s="22">
        <v>0</v>
      </c>
      <c r="AH125" s="22">
        <v>0</v>
      </c>
      <c r="AI125" s="22">
        <v>980</v>
      </c>
      <c r="AJ125" s="22">
        <v>0</v>
      </c>
      <c r="AK125" s="22">
        <v>0</v>
      </c>
      <c r="AL125" s="22">
        <v>0</v>
      </c>
      <c r="AM125" s="22">
        <v>0</v>
      </c>
      <c r="AN125" s="22">
        <v>0</v>
      </c>
      <c r="AO125" s="22">
        <v>0</v>
      </c>
      <c r="AP125" s="22">
        <v>0</v>
      </c>
      <c r="AQ125" s="22">
        <v>0</v>
      </c>
      <c r="AR125" s="22">
        <v>0</v>
      </c>
      <c r="AS125" s="22">
        <v>0</v>
      </c>
      <c r="AT125" s="22">
        <v>0</v>
      </c>
      <c r="AU125" s="19">
        <f t="shared" si="4"/>
        <v>16860</v>
      </c>
      <c r="AV125" s="22">
        <v>34473.33</v>
      </c>
      <c r="AW125" s="24" t="s">
        <v>54</v>
      </c>
      <c r="AX125" s="25">
        <v>45792</v>
      </c>
      <c r="AY125" s="15"/>
      <c r="AZ125" s="26"/>
      <c r="BA125" s="27">
        <f t="shared" si="6"/>
        <v>3.3333333267364651E-3</v>
      </c>
      <c r="BB125" s="14"/>
      <c r="BC125" s="28"/>
    </row>
    <row r="126" spans="1:55" ht="28.8" x14ac:dyDescent="0.4">
      <c r="A126" s="15">
        <v>125</v>
      </c>
      <c r="B126" s="16">
        <v>23031</v>
      </c>
      <c r="C126" s="17" t="s">
        <v>234</v>
      </c>
      <c r="D126" s="16" t="s">
        <v>253</v>
      </c>
      <c r="E126" s="16" t="s">
        <v>255</v>
      </c>
      <c r="F126" s="16">
        <v>30</v>
      </c>
      <c r="G126" s="16">
        <v>30</v>
      </c>
      <c r="H126" s="18">
        <f t="shared" si="0"/>
        <v>0</v>
      </c>
      <c r="I126" s="19">
        <f t="shared" si="1"/>
        <v>0</v>
      </c>
      <c r="J126" s="16">
        <v>0</v>
      </c>
      <c r="K126" s="20">
        <v>0</v>
      </c>
      <c r="L126" s="21"/>
      <c r="M126" s="21"/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22">
        <v>55000</v>
      </c>
      <c r="T126" s="19">
        <f t="shared" si="2"/>
        <v>0</v>
      </c>
      <c r="U126" s="19">
        <f t="shared" si="3"/>
        <v>55000</v>
      </c>
      <c r="V126" s="22">
        <v>55000</v>
      </c>
      <c r="W126" s="31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  <c r="AH126" s="22">
        <v>0</v>
      </c>
      <c r="AI126" s="22">
        <v>1050</v>
      </c>
      <c r="AJ126" s="22">
        <v>0</v>
      </c>
      <c r="AK126" s="22">
        <v>0</v>
      </c>
      <c r="AL126" s="22">
        <v>0</v>
      </c>
      <c r="AM126" s="22">
        <v>0</v>
      </c>
      <c r="AN126" s="22">
        <v>0</v>
      </c>
      <c r="AO126" s="22">
        <v>0</v>
      </c>
      <c r="AP126" s="22">
        <v>0</v>
      </c>
      <c r="AQ126" s="22">
        <v>0</v>
      </c>
      <c r="AR126" s="22">
        <v>0</v>
      </c>
      <c r="AS126" s="22">
        <v>0</v>
      </c>
      <c r="AT126" s="22">
        <v>0</v>
      </c>
      <c r="AU126" s="19">
        <f t="shared" si="4"/>
        <v>1050</v>
      </c>
      <c r="AV126" s="22">
        <f>55000-1050</f>
        <v>53950</v>
      </c>
      <c r="AW126" s="24" t="s">
        <v>54</v>
      </c>
      <c r="AX126" s="25">
        <v>45791</v>
      </c>
      <c r="AY126" s="15"/>
      <c r="AZ126" s="26"/>
      <c r="BA126" s="27">
        <f t="shared" si="6"/>
        <v>0</v>
      </c>
      <c r="BB126" s="14"/>
      <c r="BC126" s="28"/>
    </row>
    <row r="127" spans="1:55" ht="42.6" x14ac:dyDescent="0.4">
      <c r="A127" s="15">
        <v>126</v>
      </c>
      <c r="B127" s="16">
        <v>80629</v>
      </c>
      <c r="C127" s="17" t="s">
        <v>234</v>
      </c>
      <c r="D127" s="16" t="s">
        <v>238</v>
      </c>
      <c r="E127" s="16" t="s">
        <v>256</v>
      </c>
      <c r="F127" s="16">
        <v>30</v>
      </c>
      <c r="G127" s="16">
        <v>30</v>
      </c>
      <c r="H127" s="18">
        <f t="shared" si="0"/>
        <v>0</v>
      </c>
      <c r="I127" s="19">
        <f t="shared" si="1"/>
        <v>0</v>
      </c>
      <c r="J127" s="16">
        <v>0</v>
      </c>
      <c r="K127" s="20">
        <v>0</v>
      </c>
      <c r="L127" s="21"/>
      <c r="M127" s="21"/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22">
        <v>25000</v>
      </c>
      <c r="T127" s="19">
        <f t="shared" si="2"/>
        <v>0</v>
      </c>
      <c r="U127" s="19">
        <f t="shared" si="3"/>
        <v>25000</v>
      </c>
      <c r="V127" s="22">
        <v>25000</v>
      </c>
      <c r="W127" s="31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>
        <v>5000</v>
      </c>
      <c r="AG127" s="22">
        <v>0</v>
      </c>
      <c r="AH127" s="22">
        <v>0</v>
      </c>
      <c r="AI127" s="22">
        <v>1050</v>
      </c>
      <c r="AJ127" s="22">
        <v>0</v>
      </c>
      <c r="AK127" s="22">
        <v>0</v>
      </c>
      <c r="AL127" s="22">
        <v>0</v>
      </c>
      <c r="AM127" s="22">
        <v>0</v>
      </c>
      <c r="AN127" s="22">
        <v>0</v>
      </c>
      <c r="AO127" s="22">
        <v>0</v>
      </c>
      <c r="AP127" s="22">
        <v>0</v>
      </c>
      <c r="AQ127" s="22">
        <v>0</v>
      </c>
      <c r="AR127" s="22">
        <v>0</v>
      </c>
      <c r="AS127" s="22">
        <v>0</v>
      </c>
      <c r="AT127" s="22">
        <v>0</v>
      </c>
      <c r="AU127" s="19">
        <f t="shared" si="4"/>
        <v>6050</v>
      </c>
      <c r="AV127" s="22">
        <f>20000-1050</f>
        <v>18950</v>
      </c>
      <c r="AW127" s="24" t="s">
        <v>54</v>
      </c>
      <c r="AX127" s="25">
        <v>45789</v>
      </c>
      <c r="AY127" s="15"/>
      <c r="AZ127" s="26"/>
      <c r="BA127" s="27">
        <f t="shared" si="6"/>
        <v>0</v>
      </c>
      <c r="BB127" s="14"/>
      <c r="BC127" s="28"/>
    </row>
    <row r="128" spans="1:55" ht="42.6" x14ac:dyDescent="0.4">
      <c r="A128" s="15">
        <v>127</v>
      </c>
      <c r="B128" s="16">
        <v>80673</v>
      </c>
      <c r="C128" s="17" t="s">
        <v>234</v>
      </c>
      <c r="D128" s="16" t="s">
        <v>257</v>
      </c>
      <c r="E128" s="16" t="s">
        <v>258</v>
      </c>
      <c r="F128" s="16">
        <v>30</v>
      </c>
      <c r="G128" s="16">
        <v>29</v>
      </c>
      <c r="H128" s="18">
        <f t="shared" si="0"/>
        <v>1</v>
      </c>
      <c r="I128" s="19">
        <f t="shared" si="1"/>
        <v>2000</v>
      </c>
      <c r="J128" s="16">
        <v>0</v>
      </c>
      <c r="K128" s="20">
        <v>0</v>
      </c>
      <c r="L128" s="21"/>
      <c r="M128" s="21"/>
      <c r="N128" s="16">
        <v>0</v>
      </c>
      <c r="O128" s="16">
        <v>0</v>
      </c>
      <c r="P128" s="16">
        <v>1</v>
      </c>
      <c r="Q128" s="16">
        <v>0</v>
      </c>
      <c r="R128" s="16">
        <v>0</v>
      </c>
      <c r="S128" s="22">
        <v>60000</v>
      </c>
      <c r="T128" s="19">
        <f t="shared" si="2"/>
        <v>0</v>
      </c>
      <c r="U128" s="19">
        <f t="shared" si="3"/>
        <v>58000</v>
      </c>
      <c r="V128" s="22">
        <v>58000</v>
      </c>
      <c r="W128" s="31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12000</v>
      </c>
      <c r="AG128" s="22">
        <v>0</v>
      </c>
      <c r="AH128" s="22">
        <v>0</v>
      </c>
      <c r="AI128" s="22">
        <v>1015</v>
      </c>
      <c r="AJ128" s="22">
        <v>0</v>
      </c>
      <c r="AK128" s="22">
        <v>0</v>
      </c>
      <c r="AL128" s="22">
        <v>0</v>
      </c>
      <c r="AM128" s="22">
        <v>0</v>
      </c>
      <c r="AN128" s="22">
        <v>0</v>
      </c>
      <c r="AO128" s="22">
        <v>0</v>
      </c>
      <c r="AP128" s="22">
        <v>0</v>
      </c>
      <c r="AQ128" s="22">
        <v>0</v>
      </c>
      <c r="AR128" s="22">
        <v>0</v>
      </c>
      <c r="AS128" s="22">
        <v>0</v>
      </c>
      <c r="AT128" s="22">
        <v>0</v>
      </c>
      <c r="AU128" s="19">
        <f t="shared" si="4"/>
        <v>13015</v>
      </c>
      <c r="AV128" s="22">
        <v>44985</v>
      </c>
      <c r="AW128" s="24" t="s">
        <v>54</v>
      </c>
      <c r="AX128" s="25">
        <v>45790</v>
      </c>
      <c r="AY128" s="15"/>
      <c r="AZ128" s="26"/>
      <c r="BA128" s="27">
        <f t="shared" si="6"/>
        <v>0</v>
      </c>
      <c r="BB128" s="14"/>
      <c r="BC128" s="28"/>
    </row>
    <row r="129" spans="1:55" ht="42.6" x14ac:dyDescent="0.4">
      <c r="A129" s="15">
        <v>128</v>
      </c>
      <c r="B129" s="16">
        <v>80672</v>
      </c>
      <c r="C129" s="17" t="s">
        <v>234</v>
      </c>
      <c r="D129" s="16" t="s">
        <v>235</v>
      </c>
      <c r="E129" s="16" t="s">
        <v>259</v>
      </c>
      <c r="F129" s="16">
        <v>30</v>
      </c>
      <c r="G129" s="16">
        <v>11</v>
      </c>
      <c r="H129" s="18">
        <v>19</v>
      </c>
      <c r="I129" s="19">
        <f t="shared" si="1"/>
        <v>31666.666666666668</v>
      </c>
      <c r="J129" s="16">
        <v>0</v>
      </c>
      <c r="K129" s="20">
        <v>0</v>
      </c>
      <c r="L129" s="21"/>
      <c r="M129" s="21"/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22">
        <v>50000</v>
      </c>
      <c r="T129" s="19">
        <f t="shared" si="2"/>
        <v>0</v>
      </c>
      <c r="U129" s="19">
        <f t="shared" si="3"/>
        <v>17780</v>
      </c>
      <c r="V129" s="22">
        <v>17780</v>
      </c>
      <c r="W129" s="31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  <c r="AH129" s="22">
        <v>0</v>
      </c>
      <c r="AI129" s="22">
        <v>0</v>
      </c>
      <c r="AJ129" s="22">
        <v>17780</v>
      </c>
      <c r="AK129" s="22">
        <v>0</v>
      </c>
      <c r="AL129" s="22">
        <v>0</v>
      </c>
      <c r="AM129" s="22">
        <v>0</v>
      </c>
      <c r="AN129" s="22">
        <v>0</v>
      </c>
      <c r="AO129" s="22">
        <v>0</v>
      </c>
      <c r="AP129" s="22">
        <v>0</v>
      </c>
      <c r="AQ129" s="22">
        <v>0</v>
      </c>
      <c r="AR129" s="22">
        <v>0</v>
      </c>
      <c r="AS129" s="22">
        <v>0</v>
      </c>
      <c r="AT129" s="22">
        <v>0</v>
      </c>
      <c r="AU129" s="19">
        <f t="shared" si="4"/>
        <v>17780</v>
      </c>
      <c r="AV129" s="22">
        <v>0</v>
      </c>
      <c r="AW129" s="24"/>
      <c r="AX129" s="34"/>
      <c r="AY129" s="15"/>
      <c r="AZ129" s="26"/>
      <c r="BA129" s="27"/>
      <c r="BB129" s="14"/>
      <c r="BC129" s="28"/>
    </row>
    <row r="130" spans="1:55" ht="28.8" x14ac:dyDescent="0.4">
      <c r="A130" s="15">
        <v>129</v>
      </c>
      <c r="B130" s="36">
        <v>80636</v>
      </c>
      <c r="C130" s="37" t="s">
        <v>260</v>
      </c>
      <c r="D130" s="36" t="s">
        <v>261</v>
      </c>
      <c r="E130" s="36" t="s">
        <v>262</v>
      </c>
      <c r="F130" s="16">
        <v>30</v>
      </c>
      <c r="G130" s="16">
        <v>27</v>
      </c>
      <c r="H130" s="18">
        <f t="shared" ref="H130:H384" si="7">+F130-G130</f>
        <v>3</v>
      </c>
      <c r="I130" s="19">
        <f t="shared" si="1"/>
        <v>1600</v>
      </c>
      <c r="J130" s="16">
        <v>0</v>
      </c>
      <c r="K130" s="20">
        <v>0</v>
      </c>
      <c r="L130" s="21"/>
      <c r="M130" s="21"/>
      <c r="N130" s="16">
        <v>0</v>
      </c>
      <c r="O130" s="16">
        <v>0</v>
      </c>
      <c r="P130" s="16">
        <v>3</v>
      </c>
      <c r="Q130" s="16">
        <v>0</v>
      </c>
      <c r="R130" s="16">
        <v>0</v>
      </c>
      <c r="S130" s="22">
        <v>16000</v>
      </c>
      <c r="T130" s="19">
        <f t="shared" si="2"/>
        <v>0</v>
      </c>
      <c r="U130" s="19">
        <f t="shared" si="3"/>
        <v>14400</v>
      </c>
      <c r="V130" s="22">
        <v>14400</v>
      </c>
      <c r="W130" s="31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>
        <v>2000</v>
      </c>
      <c r="AG130" s="22">
        <v>0</v>
      </c>
      <c r="AH130" s="22">
        <v>0</v>
      </c>
      <c r="AI130" s="22">
        <v>364</v>
      </c>
      <c r="AJ130" s="22">
        <v>0</v>
      </c>
      <c r="AK130" s="22">
        <v>0</v>
      </c>
      <c r="AL130" s="22">
        <v>0</v>
      </c>
      <c r="AM130" s="22">
        <v>0</v>
      </c>
      <c r="AN130" s="22">
        <v>0</v>
      </c>
      <c r="AO130" s="22">
        <v>0</v>
      </c>
      <c r="AP130" s="22">
        <v>0</v>
      </c>
      <c r="AQ130" s="22">
        <v>0</v>
      </c>
      <c r="AR130" s="22">
        <v>0</v>
      </c>
      <c r="AS130" s="22">
        <v>0</v>
      </c>
      <c r="AT130" s="22">
        <v>0</v>
      </c>
      <c r="AU130" s="19">
        <f t="shared" si="4"/>
        <v>2364</v>
      </c>
      <c r="AV130" s="22">
        <v>12036</v>
      </c>
      <c r="AW130" s="24" t="s">
        <v>54</v>
      </c>
      <c r="AX130" s="34"/>
      <c r="AY130" s="15"/>
      <c r="AZ130" s="26"/>
      <c r="BA130" s="27">
        <f t="shared" ref="BA130:BA349" si="8">+S130/F130*G130-T130-AU130-AV130+X130</f>
        <v>1.8189894035458565E-12</v>
      </c>
      <c r="BB130" s="14"/>
      <c r="BC130" s="28"/>
    </row>
    <row r="131" spans="1:55" ht="42.6" x14ac:dyDescent="0.4">
      <c r="A131" s="15">
        <v>130</v>
      </c>
      <c r="B131" s="16">
        <v>12002</v>
      </c>
      <c r="C131" s="17" t="s">
        <v>260</v>
      </c>
      <c r="D131" s="16" t="s">
        <v>263</v>
      </c>
      <c r="E131" s="16" t="s">
        <v>264</v>
      </c>
      <c r="F131" s="16">
        <v>30</v>
      </c>
      <c r="G131" s="16">
        <v>30</v>
      </c>
      <c r="H131" s="18">
        <f t="shared" si="7"/>
        <v>0</v>
      </c>
      <c r="I131" s="19">
        <f t="shared" si="1"/>
        <v>0</v>
      </c>
      <c r="J131" s="16">
        <v>0</v>
      </c>
      <c r="K131" s="20">
        <v>0</v>
      </c>
      <c r="L131" s="21"/>
      <c r="M131" s="21"/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22">
        <v>25000</v>
      </c>
      <c r="T131" s="19">
        <f t="shared" si="2"/>
        <v>0</v>
      </c>
      <c r="U131" s="19">
        <f t="shared" si="3"/>
        <v>25000</v>
      </c>
      <c r="V131" s="22">
        <v>25000</v>
      </c>
      <c r="W131" s="31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4000</v>
      </c>
      <c r="AG131" s="22">
        <v>0</v>
      </c>
      <c r="AH131" s="22">
        <v>0</v>
      </c>
      <c r="AI131" s="22">
        <v>420</v>
      </c>
      <c r="AJ131" s="22">
        <v>0</v>
      </c>
      <c r="AK131" s="22">
        <v>0</v>
      </c>
      <c r="AL131" s="22">
        <v>0</v>
      </c>
      <c r="AM131" s="22">
        <v>0</v>
      </c>
      <c r="AN131" s="22">
        <v>0</v>
      </c>
      <c r="AO131" s="22">
        <v>0</v>
      </c>
      <c r="AP131" s="22">
        <v>0</v>
      </c>
      <c r="AQ131" s="22">
        <v>0</v>
      </c>
      <c r="AR131" s="22">
        <v>0</v>
      </c>
      <c r="AS131" s="22">
        <v>0</v>
      </c>
      <c r="AT131" s="22">
        <v>0</v>
      </c>
      <c r="AU131" s="19">
        <f t="shared" si="4"/>
        <v>4420</v>
      </c>
      <c r="AV131" s="22">
        <v>20580</v>
      </c>
      <c r="AW131" s="24" t="s">
        <v>54</v>
      </c>
      <c r="AX131" s="25">
        <v>45789</v>
      </c>
      <c r="AY131" s="15"/>
      <c r="AZ131" s="26"/>
      <c r="BA131" s="27">
        <f t="shared" si="8"/>
        <v>0</v>
      </c>
      <c r="BB131" s="14"/>
      <c r="BC131" s="28"/>
    </row>
    <row r="132" spans="1:55" ht="28.8" x14ac:dyDescent="0.4">
      <c r="A132" s="15">
        <v>131</v>
      </c>
      <c r="B132" s="16">
        <v>13043</v>
      </c>
      <c r="C132" s="17" t="s">
        <v>260</v>
      </c>
      <c r="D132" s="16" t="s">
        <v>260</v>
      </c>
      <c r="E132" s="16" t="s">
        <v>265</v>
      </c>
      <c r="F132" s="16">
        <v>30</v>
      </c>
      <c r="G132" s="16">
        <v>29</v>
      </c>
      <c r="H132" s="18">
        <f t="shared" si="7"/>
        <v>1</v>
      </c>
      <c r="I132" s="19">
        <f t="shared" si="1"/>
        <v>533.33333333333337</v>
      </c>
      <c r="J132" s="16">
        <v>0</v>
      </c>
      <c r="K132" s="20">
        <v>0</v>
      </c>
      <c r="L132" s="21"/>
      <c r="M132" s="21"/>
      <c r="N132" s="16">
        <v>0</v>
      </c>
      <c r="O132" s="16">
        <v>0</v>
      </c>
      <c r="P132" s="16">
        <v>1</v>
      </c>
      <c r="Q132" s="16">
        <v>0</v>
      </c>
      <c r="R132" s="16">
        <v>0</v>
      </c>
      <c r="S132" s="22">
        <v>16000</v>
      </c>
      <c r="T132" s="19">
        <f t="shared" si="2"/>
        <v>0</v>
      </c>
      <c r="U132" s="19">
        <f t="shared" si="3"/>
        <v>15467</v>
      </c>
      <c r="V132" s="22">
        <v>15467</v>
      </c>
      <c r="W132" s="31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>
        <v>1000</v>
      </c>
      <c r="AG132" s="22">
        <v>0</v>
      </c>
      <c r="AH132" s="22">
        <v>0</v>
      </c>
      <c r="AI132" s="22">
        <v>378</v>
      </c>
      <c r="AJ132" s="22">
        <v>0</v>
      </c>
      <c r="AK132" s="22">
        <v>0</v>
      </c>
      <c r="AL132" s="22">
        <v>0</v>
      </c>
      <c r="AM132" s="22">
        <v>0</v>
      </c>
      <c r="AN132" s="22">
        <v>0</v>
      </c>
      <c r="AO132" s="22">
        <v>0</v>
      </c>
      <c r="AP132" s="22">
        <v>0</v>
      </c>
      <c r="AQ132" s="22">
        <v>0</v>
      </c>
      <c r="AR132" s="22">
        <v>0</v>
      </c>
      <c r="AS132" s="22">
        <v>0</v>
      </c>
      <c r="AT132" s="22">
        <v>0</v>
      </c>
      <c r="AU132" s="19">
        <f t="shared" si="4"/>
        <v>1378</v>
      </c>
      <c r="AV132" s="22">
        <v>14088.67</v>
      </c>
      <c r="AW132" s="24" t="s">
        <v>54</v>
      </c>
      <c r="AX132" s="25">
        <v>45789</v>
      </c>
      <c r="AY132" s="15"/>
      <c r="AZ132" s="26"/>
      <c r="BA132" s="27">
        <f t="shared" si="8"/>
        <v>-3.3333333321934333E-3</v>
      </c>
      <c r="BB132" s="14"/>
      <c r="BC132" s="28"/>
    </row>
    <row r="133" spans="1:55" ht="28.8" x14ac:dyDescent="0.4">
      <c r="A133" s="15">
        <v>132</v>
      </c>
      <c r="B133" s="16">
        <v>22254</v>
      </c>
      <c r="C133" s="17" t="s">
        <v>260</v>
      </c>
      <c r="D133" s="16" t="s">
        <v>190</v>
      </c>
      <c r="E133" s="16" t="s">
        <v>266</v>
      </c>
      <c r="F133" s="16">
        <v>30</v>
      </c>
      <c r="G133" s="16">
        <v>30</v>
      </c>
      <c r="H133" s="18">
        <f t="shared" si="7"/>
        <v>0</v>
      </c>
      <c r="I133" s="19">
        <f t="shared" si="1"/>
        <v>0</v>
      </c>
      <c r="J133" s="16">
        <v>0</v>
      </c>
      <c r="K133" s="20">
        <v>0</v>
      </c>
      <c r="L133" s="21"/>
      <c r="M133" s="21"/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22">
        <v>16000</v>
      </c>
      <c r="T133" s="19">
        <f t="shared" si="2"/>
        <v>0</v>
      </c>
      <c r="U133" s="19">
        <f t="shared" si="3"/>
        <v>16000</v>
      </c>
      <c r="V133" s="22">
        <v>16000</v>
      </c>
      <c r="W133" s="31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>
        <v>0</v>
      </c>
      <c r="AG133" s="22">
        <v>0</v>
      </c>
      <c r="AH133" s="22">
        <v>0</v>
      </c>
      <c r="AI133" s="22">
        <v>420</v>
      </c>
      <c r="AJ133" s="22">
        <v>0</v>
      </c>
      <c r="AK133" s="22">
        <v>0</v>
      </c>
      <c r="AL133" s="22">
        <v>0</v>
      </c>
      <c r="AM133" s="22">
        <v>0</v>
      </c>
      <c r="AN133" s="22">
        <v>0</v>
      </c>
      <c r="AO133" s="22">
        <v>0</v>
      </c>
      <c r="AP133" s="22">
        <v>0</v>
      </c>
      <c r="AQ133" s="22">
        <v>0</v>
      </c>
      <c r="AR133" s="22">
        <v>0</v>
      </c>
      <c r="AS133" s="22">
        <v>0</v>
      </c>
      <c r="AT133" s="22">
        <v>0</v>
      </c>
      <c r="AU133" s="19">
        <f t="shared" si="4"/>
        <v>420</v>
      </c>
      <c r="AV133" s="22">
        <v>15580</v>
      </c>
      <c r="AW133" s="24" t="s">
        <v>54</v>
      </c>
      <c r="AX133" s="25">
        <v>45789</v>
      </c>
      <c r="AY133" s="15"/>
      <c r="AZ133" s="26"/>
      <c r="BA133" s="27">
        <f t="shared" si="8"/>
        <v>1.8189894035458565E-12</v>
      </c>
      <c r="BB133" s="14"/>
      <c r="BC133" s="28"/>
    </row>
    <row r="134" spans="1:55" ht="28.8" x14ac:dyDescent="0.4">
      <c r="A134" s="15">
        <v>133</v>
      </c>
      <c r="B134" s="16">
        <v>12069</v>
      </c>
      <c r="C134" s="17" t="s">
        <v>260</v>
      </c>
      <c r="D134" s="16" t="s">
        <v>260</v>
      </c>
      <c r="E134" s="16" t="s">
        <v>267</v>
      </c>
      <c r="F134" s="16">
        <v>30</v>
      </c>
      <c r="G134" s="16">
        <v>30</v>
      </c>
      <c r="H134" s="18">
        <f t="shared" si="7"/>
        <v>0</v>
      </c>
      <c r="I134" s="19">
        <f t="shared" si="1"/>
        <v>0</v>
      </c>
      <c r="J134" s="16">
        <v>1</v>
      </c>
      <c r="K134" s="20">
        <v>0</v>
      </c>
      <c r="L134" s="21"/>
      <c r="M134" s="21"/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22">
        <v>16000</v>
      </c>
      <c r="T134" s="19">
        <f t="shared" si="2"/>
        <v>0</v>
      </c>
      <c r="U134" s="19">
        <f t="shared" si="3"/>
        <v>16000</v>
      </c>
      <c r="V134" s="22">
        <v>15467</v>
      </c>
      <c r="W134" s="31">
        <v>533</v>
      </c>
      <c r="X134" s="22">
        <v>0</v>
      </c>
      <c r="Y134" s="22">
        <v>0</v>
      </c>
      <c r="Z134" s="22">
        <v>0</v>
      </c>
      <c r="AA134" s="22">
        <v>0</v>
      </c>
      <c r="AB134" s="22">
        <v>0</v>
      </c>
      <c r="AC134" s="22">
        <v>0</v>
      </c>
      <c r="AD134" s="22">
        <v>0</v>
      </c>
      <c r="AE134" s="22">
        <v>0</v>
      </c>
      <c r="AF134" s="22">
        <v>0</v>
      </c>
      <c r="AG134" s="22">
        <v>0</v>
      </c>
      <c r="AH134" s="22">
        <v>1000</v>
      </c>
      <c r="AI134" s="22">
        <v>420</v>
      </c>
      <c r="AJ134" s="22">
        <v>0</v>
      </c>
      <c r="AK134" s="22">
        <v>0</v>
      </c>
      <c r="AL134" s="22">
        <v>0</v>
      </c>
      <c r="AM134" s="22">
        <v>0</v>
      </c>
      <c r="AN134" s="22">
        <v>0</v>
      </c>
      <c r="AO134" s="22">
        <v>0</v>
      </c>
      <c r="AP134" s="22">
        <v>0</v>
      </c>
      <c r="AQ134" s="22">
        <v>0</v>
      </c>
      <c r="AR134" s="22">
        <v>0</v>
      </c>
      <c r="AS134" s="22">
        <v>0</v>
      </c>
      <c r="AT134" s="22">
        <v>0</v>
      </c>
      <c r="AU134" s="19">
        <f t="shared" si="4"/>
        <v>1420</v>
      </c>
      <c r="AV134" s="22">
        <v>14580</v>
      </c>
      <c r="AW134" s="24" t="s">
        <v>54</v>
      </c>
      <c r="AX134" s="34"/>
      <c r="AY134" s="15"/>
      <c r="AZ134" s="26"/>
      <c r="BA134" s="27">
        <f t="shared" si="8"/>
        <v>1.8189894035458565E-12</v>
      </c>
      <c r="BB134" s="14"/>
      <c r="BC134" s="28"/>
    </row>
    <row r="135" spans="1:55" ht="42.6" x14ac:dyDescent="0.4">
      <c r="A135" s="15">
        <v>134</v>
      </c>
      <c r="B135" s="16">
        <v>80436</v>
      </c>
      <c r="C135" s="17" t="s">
        <v>260</v>
      </c>
      <c r="D135" s="16" t="s">
        <v>261</v>
      </c>
      <c r="E135" s="16" t="s">
        <v>268</v>
      </c>
      <c r="F135" s="16">
        <v>30</v>
      </c>
      <c r="G135" s="16">
        <v>30</v>
      </c>
      <c r="H135" s="18">
        <f t="shared" si="7"/>
        <v>0</v>
      </c>
      <c r="I135" s="19">
        <f t="shared" si="1"/>
        <v>0</v>
      </c>
      <c r="J135" s="16">
        <v>0</v>
      </c>
      <c r="K135" s="20">
        <v>0</v>
      </c>
      <c r="L135" s="21"/>
      <c r="M135" s="21"/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22">
        <v>16000</v>
      </c>
      <c r="T135" s="19">
        <f t="shared" si="2"/>
        <v>0</v>
      </c>
      <c r="U135" s="19">
        <f t="shared" si="3"/>
        <v>16000</v>
      </c>
      <c r="V135" s="22">
        <v>16000</v>
      </c>
      <c r="W135" s="31">
        <v>0</v>
      </c>
      <c r="X135" s="22">
        <v>0</v>
      </c>
      <c r="Y135" s="22">
        <v>0</v>
      </c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0</v>
      </c>
      <c r="AF135" s="22">
        <v>0</v>
      </c>
      <c r="AG135" s="22">
        <v>0</v>
      </c>
      <c r="AH135" s="22">
        <v>0</v>
      </c>
      <c r="AI135" s="22">
        <v>420</v>
      </c>
      <c r="AJ135" s="22">
        <v>0</v>
      </c>
      <c r="AK135" s="22">
        <v>0</v>
      </c>
      <c r="AL135" s="22">
        <v>0</v>
      </c>
      <c r="AM135" s="22">
        <v>0</v>
      </c>
      <c r="AN135" s="22">
        <v>0</v>
      </c>
      <c r="AO135" s="22">
        <v>0</v>
      </c>
      <c r="AP135" s="22">
        <v>0</v>
      </c>
      <c r="AQ135" s="22">
        <v>0</v>
      </c>
      <c r="AR135" s="22">
        <v>0</v>
      </c>
      <c r="AS135" s="22">
        <v>0</v>
      </c>
      <c r="AT135" s="22">
        <v>0</v>
      </c>
      <c r="AU135" s="19">
        <f t="shared" si="4"/>
        <v>420</v>
      </c>
      <c r="AV135" s="22">
        <v>15580</v>
      </c>
      <c r="AW135" s="24" t="s">
        <v>54</v>
      </c>
      <c r="AX135" s="25">
        <v>45789</v>
      </c>
      <c r="AY135" s="15"/>
      <c r="AZ135" s="26"/>
      <c r="BA135" s="27">
        <f t="shared" si="8"/>
        <v>1.8189894035458565E-12</v>
      </c>
      <c r="BB135" s="14"/>
      <c r="BC135" s="28"/>
    </row>
    <row r="136" spans="1:55" ht="28.8" x14ac:dyDescent="0.4">
      <c r="A136" s="15">
        <v>135</v>
      </c>
      <c r="B136" s="16">
        <v>80509</v>
      </c>
      <c r="C136" s="17" t="s">
        <v>260</v>
      </c>
      <c r="D136" s="16" t="s">
        <v>261</v>
      </c>
      <c r="E136" s="16" t="s">
        <v>269</v>
      </c>
      <c r="F136" s="16">
        <v>30</v>
      </c>
      <c r="G136" s="16">
        <v>30</v>
      </c>
      <c r="H136" s="18">
        <f t="shared" si="7"/>
        <v>0</v>
      </c>
      <c r="I136" s="19">
        <f t="shared" si="1"/>
        <v>0</v>
      </c>
      <c r="J136" s="16">
        <v>0</v>
      </c>
      <c r="K136" s="20">
        <v>0</v>
      </c>
      <c r="L136" s="21"/>
      <c r="M136" s="21"/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22">
        <v>16000</v>
      </c>
      <c r="T136" s="19">
        <f t="shared" si="2"/>
        <v>0</v>
      </c>
      <c r="U136" s="19">
        <f t="shared" si="3"/>
        <v>16000</v>
      </c>
      <c r="V136" s="22">
        <v>16000</v>
      </c>
      <c r="W136" s="31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f>1050-525</f>
        <v>525</v>
      </c>
      <c r="AD136" s="22">
        <v>0</v>
      </c>
      <c r="AE136" s="22">
        <v>0</v>
      </c>
      <c r="AF136" s="22">
        <v>2000</v>
      </c>
      <c r="AG136" s="22">
        <v>0</v>
      </c>
      <c r="AH136" s="22">
        <v>1000</v>
      </c>
      <c r="AI136" s="22">
        <v>630</v>
      </c>
      <c r="AJ136" s="22">
        <v>0</v>
      </c>
      <c r="AK136" s="22">
        <v>0</v>
      </c>
      <c r="AL136" s="22">
        <v>0</v>
      </c>
      <c r="AM136" s="22">
        <v>0</v>
      </c>
      <c r="AN136" s="22">
        <v>0</v>
      </c>
      <c r="AO136" s="22">
        <v>0</v>
      </c>
      <c r="AP136" s="22">
        <v>0</v>
      </c>
      <c r="AQ136" s="22">
        <v>0</v>
      </c>
      <c r="AR136" s="22">
        <v>0</v>
      </c>
      <c r="AS136" s="22">
        <v>0</v>
      </c>
      <c r="AT136" s="22">
        <v>0</v>
      </c>
      <c r="AU136" s="19">
        <f t="shared" si="4"/>
        <v>4155</v>
      </c>
      <c r="AV136" s="22">
        <f>11320+525</f>
        <v>11845</v>
      </c>
      <c r="AW136" s="24" t="s">
        <v>54</v>
      </c>
      <c r="AX136" s="25">
        <v>45789</v>
      </c>
      <c r="AY136" s="15"/>
      <c r="AZ136" s="26"/>
      <c r="BA136" s="27">
        <f t="shared" si="8"/>
        <v>1.8189894035458565E-12</v>
      </c>
      <c r="BB136" s="14"/>
      <c r="BC136" s="28"/>
    </row>
    <row r="137" spans="1:55" ht="42.6" x14ac:dyDescent="0.4">
      <c r="A137" s="15">
        <v>136</v>
      </c>
      <c r="B137" s="16">
        <v>80516</v>
      </c>
      <c r="C137" s="17" t="s">
        <v>260</v>
      </c>
      <c r="D137" s="16" t="s">
        <v>261</v>
      </c>
      <c r="E137" s="16" t="s">
        <v>270</v>
      </c>
      <c r="F137" s="16">
        <v>30</v>
      </c>
      <c r="G137" s="16">
        <v>30</v>
      </c>
      <c r="H137" s="18">
        <f t="shared" si="7"/>
        <v>0</v>
      </c>
      <c r="I137" s="19">
        <f t="shared" si="1"/>
        <v>0</v>
      </c>
      <c r="J137" s="16">
        <v>0</v>
      </c>
      <c r="K137" s="20">
        <v>0</v>
      </c>
      <c r="L137" s="21"/>
      <c r="M137" s="21"/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22">
        <v>16000</v>
      </c>
      <c r="T137" s="19">
        <f t="shared" si="2"/>
        <v>0</v>
      </c>
      <c r="U137" s="19">
        <f t="shared" si="3"/>
        <v>16000</v>
      </c>
      <c r="V137" s="22">
        <v>16000</v>
      </c>
      <c r="W137" s="31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  <c r="AH137" s="22">
        <v>0</v>
      </c>
      <c r="AI137" s="22">
        <v>210</v>
      </c>
      <c r="AJ137" s="22">
        <v>0</v>
      </c>
      <c r="AK137" s="22">
        <v>0</v>
      </c>
      <c r="AL137" s="22">
        <v>0</v>
      </c>
      <c r="AM137" s="22">
        <v>0</v>
      </c>
      <c r="AN137" s="22">
        <v>0</v>
      </c>
      <c r="AO137" s="22">
        <v>0</v>
      </c>
      <c r="AP137" s="22">
        <v>0</v>
      </c>
      <c r="AQ137" s="22">
        <v>0</v>
      </c>
      <c r="AR137" s="22">
        <v>0</v>
      </c>
      <c r="AS137" s="22">
        <v>0</v>
      </c>
      <c r="AT137" s="22">
        <v>0</v>
      </c>
      <c r="AU137" s="19">
        <f t="shared" si="4"/>
        <v>210</v>
      </c>
      <c r="AV137" s="22">
        <v>15790</v>
      </c>
      <c r="AW137" s="24" t="s">
        <v>54</v>
      </c>
      <c r="AX137" s="25">
        <v>45789</v>
      </c>
      <c r="AY137" s="15"/>
      <c r="AZ137" s="26"/>
      <c r="BA137" s="27">
        <f t="shared" si="8"/>
        <v>1.8189894035458565E-12</v>
      </c>
      <c r="BB137" s="14"/>
      <c r="BC137" s="28"/>
    </row>
    <row r="138" spans="1:55" ht="42.6" x14ac:dyDescent="0.4">
      <c r="A138" s="15">
        <v>137</v>
      </c>
      <c r="B138" s="16">
        <v>12008</v>
      </c>
      <c r="C138" s="17" t="s">
        <v>260</v>
      </c>
      <c r="D138" s="16" t="s">
        <v>271</v>
      </c>
      <c r="E138" s="16" t="s">
        <v>272</v>
      </c>
      <c r="F138" s="16">
        <v>30</v>
      </c>
      <c r="G138" s="16">
        <v>9</v>
      </c>
      <c r="H138" s="18">
        <f t="shared" si="7"/>
        <v>21</v>
      </c>
      <c r="I138" s="19">
        <f t="shared" si="1"/>
        <v>23800</v>
      </c>
      <c r="J138" s="16">
        <v>0</v>
      </c>
      <c r="K138" s="20">
        <v>0</v>
      </c>
      <c r="L138" s="21"/>
      <c r="M138" s="21"/>
      <c r="N138" s="16">
        <v>0</v>
      </c>
      <c r="O138" s="16">
        <v>0</v>
      </c>
      <c r="P138" s="16">
        <v>0</v>
      </c>
      <c r="Q138" s="16">
        <v>0</v>
      </c>
      <c r="R138" s="16">
        <v>21</v>
      </c>
      <c r="S138" s="22">
        <v>34000</v>
      </c>
      <c r="T138" s="19">
        <f t="shared" si="2"/>
        <v>0</v>
      </c>
      <c r="U138" s="19">
        <f t="shared" si="3"/>
        <v>10200</v>
      </c>
      <c r="V138" s="22">
        <v>10200</v>
      </c>
      <c r="W138" s="31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>
        <v>0</v>
      </c>
      <c r="AG138" s="22">
        <v>0</v>
      </c>
      <c r="AH138" s="22">
        <v>0</v>
      </c>
      <c r="AI138" s="22">
        <v>126</v>
      </c>
      <c r="AJ138" s="22">
        <v>0</v>
      </c>
      <c r="AK138" s="22">
        <v>0</v>
      </c>
      <c r="AL138" s="22">
        <v>0</v>
      </c>
      <c r="AM138" s="22">
        <v>0</v>
      </c>
      <c r="AN138" s="22">
        <v>0</v>
      </c>
      <c r="AO138" s="22">
        <v>0</v>
      </c>
      <c r="AP138" s="22">
        <v>0</v>
      </c>
      <c r="AQ138" s="22">
        <v>0</v>
      </c>
      <c r="AR138" s="22">
        <v>0</v>
      </c>
      <c r="AS138" s="22">
        <v>0</v>
      </c>
      <c r="AT138" s="22">
        <v>0</v>
      </c>
      <c r="AU138" s="19">
        <f t="shared" si="4"/>
        <v>126</v>
      </c>
      <c r="AV138" s="22">
        <v>10074</v>
      </c>
      <c r="AW138" s="24"/>
      <c r="AX138" s="34"/>
      <c r="AY138" s="15"/>
      <c r="AZ138" s="26"/>
      <c r="BA138" s="27">
        <f t="shared" si="8"/>
        <v>0</v>
      </c>
      <c r="BB138" s="14"/>
      <c r="BC138" s="28"/>
    </row>
    <row r="139" spans="1:55" ht="42.6" x14ac:dyDescent="0.4">
      <c r="A139" s="15">
        <v>138</v>
      </c>
      <c r="B139" s="16">
        <v>80748</v>
      </c>
      <c r="C139" s="17" t="s">
        <v>260</v>
      </c>
      <c r="D139" s="16" t="s">
        <v>261</v>
      </c>
      <c r="E139" s="16" t="s">
        <v>273</v>
      </c>
      <c r="F139" s="16">
        <v>30</v>
      </c>
      <c r="G139" s="16">
        <v>30</v>
      </c>
      <c r="H139" s="18">
        <f t="shared" si="7"/>
        <v>0</v>
      </c>
      <c r="I139" s="19">
        <f t="shared" si="1"/>
        <v>0</v>
      </c>
      <c r="J139" s="16">
        <v>0</v>
      </c>
      <c r="K139" s="20">
        <v>0</v>
      </c>
      <c r="L139" s="21"/>
      <c r="M139" s="21"/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22">
        <v>16000</v>
      </c>
      <c r="T139" s="19">
        <f t="shared" si="2"/>
        <v>0</v>
      </c>
      <c r="U139" s="19">
        <f t="shared" si="3"/>
        <v>16000</v>
      </c>
      <c r="V139" s="22">
        <v>16000</v>
      </c>
      <c r="W139" s="31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2000</v>
      </c>
      <c r="AG139" s="22">
        <v>0</v>
      </c>
      <c r="AH139" s="22">
        <v>0</v>
      </c>
      <c r="AI139" s="22">
        <v>420</v>
      </c>
      <c r="AJ139" s="22">
        <v>0</v>
      </c>
      <c r="AK139" s="22">
        <v>0</v>
      </c>
      <c r="AL139" s="22">
        <v>0</v>
      </c>
      <c r="AM139" s="22">
        <v>0</v>
      </c>
      <c r="AN139" s="22">
        <v>0</v>
      </c>
      <c r="AO139" s="22">
        <v>0</v>
      </c>
      <c r="AP139" s="22">
        <v>0</v>
      </c>
      <c r="AQ139" s="22">
        <v>0</v>
      </c>
      <c r="AR139" s="22">
        <v>0</v>
      </c>
      <c r="AS139" s="22">
        <v>0</v>
      </c>
      <c r="AT139" s="22">
        <v>0</v>
      </c>
      <c r="AU139" s="19">
        <f t="shared" si="4"/>
        <v>2420</v>
      </c>
      <c r="AV139" s="22">
        <v>13580</v>
      </c>
      <c r="AW139" s="24" t="s">
        <v>54</v>
      </c>
      <c r="AX139" s="34"/>
      <c r="AY139" s="15"/>
      <c r="AZ139" s="26"/>
      <c r="BA139" s="27">
        <f t="shared" si="8"/>
        <v>1.8189894035458565E-12</v>
      </c>
      <c r="BB139" s="14"/>
      <c r="BC139" s="28"/>
    </row>
    <row r="140" spans="1:55" ht="42.6" x14ac:dyDescent="0.4">
      <c r="A140" s="15">
        <v>139</v>
      </c>
      <c r="B140" s="16">
        <v>22021</v>
      </c>
      <c r="C140" s="17" t="s">
        <v>260</v>
      </c>
      <c r="D140" s="16" t="s">
        <v>261</v>
      </c>
      <c r="E140" s="16" t="s">
        <v>274</v>
      </c>
      <c r="F140" s="16">
        <v>30</v>
      </c>
      <c r="G140" s="16">
        <v>30</v>
      </c>
      <c r="H140" s="18">
        <f t="shared" si="7"/>
        <v>0</v>
      </c>
      <c r="I140" s="19">
        <f t="shared" si="1"/>
        <v>0</v>
      </c>
      <c r="J140" s="16">
        <v>0</v>
      </c>
      <c r="K140" s="20">
        <v>0</v>
      </c>
      <c r="L140" s="21"/>
      <c r="M140" s="21"/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22">
        <v>16000</v>
      </c>
      <c r="T140" s="19">
        <f t="shared" si="2"/>
        <v>0</v>
      </c>
      <c r="U140" s="19">
        <f t="shared" si="3"/>
        <v>16000</v>
      </c>
      <c r="V140" s="22">
        <v>16000</v>
      </c>
      <c r="W140" s="31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22">
        <v>525</v>
      </c>
      <c r="AD140" s="22">
        <v>0</v>
      </c>
      <c r="AE140" s="22">
        <v>0</v>
      </c>
      <c r="AF140" s="22">
        <v>3000</v>
      </c>
      <c r="AG140" s="22">
        <v>0</v>
      </c>
      <c r="AH140" s="22">
        <v>0</v>
      </c>
      <c r="AI140" s="22">
        <v>420</v>
      </c>
      <c r="AJ140" s="22">
        <v>0</v>
      </c>
      <c r="AK140" s="22">
        <v>0</v>
      </c>
      <c r="AL140" s="22">
        <v>0</v>
      </c>
      <c r="AM140" s="22">
        <v>0</v>
      </c>
      <c r="AN140" s="22">
        <v>0</v>
      </c>
      <c r="AO140" s="22">
        <v>0</v>
      </c>
      <c r="AP140" s="22">
        <v>0</v>
      </c>
      <c r="AQ140" s="22">
        <v>0</v>
      </c>
      <c r="AR140" s="22">
        <v>0</v>
      </c>
      <c r="AS140" s="22">
        <v>0</v>
      </c>
      <c r="AT140" s="22">
        <v>0</v>
      </c>
      <c r="AU140" s="19">
        <f t="shared" si="4"/>
        <v>3945</v>
      </c>
      <c r="AV140" s="22">
        <v>12055</v>
      </c>
      <c r="AW140" s="24" t="s">
        <v>54</v>
      </c>
      <c r="AX140" s="25">
        <v>45789</v>
      </c>
      <c r="AY140" s="15"/>
      <c r="AZ140" s="26"/>
      <c r="BA140" s="27">
        <f t="shared" si="8"/>
        <v>1.8189894035458565E-12</v>
      </c>
      <c r="BB140" s="14"/>
      <c r="BC140" s="28"/>
    </row>
    <row r="141" spans="1:55" ht="28.8" x14ac:dyDescent="0.4">
      <c r="A141" s="15">
        <v>140</v>
      </c>
      <c r="B141" s="16">
        <v>80714</v>
      </c>
      <c r="C141" s="17" t="s">
        <v>260</v>
      </c>
      <c r="D141" s="16" t="s">
        <v>261</v>
      </c>
      <c r="E141" s="16" t="s">
        <v>275</v>
      </c>
      <c r="F141" s="16">
        <v>30</v>
      </c>
      <c r="G141" s="16">
        <v>30</v>
      </c>
      <c r="H141" s="18">
        <f t="shared" si="7"/>
        <v>0</v>
      </c>
      <c r="I141" s="19">
        <f t="shared" si="1"/>
        <v>0</v>
      </c>
      <c r="J141" s="16">
        <v>0</v>
      </c>
      <c r="K141" s="20">
        <v>0</v>
      </c>
      <c r="L141" s="21"/>
      <c r="M141" s="21"/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22">
        <v>16000</v>
      </c>
      <c r="T141" s="19">
        <f t="shared" si="2"/>
        <v>0</v>
      </c>
      <c r="U141" s="19">
        <f t="shared" si="3"/>
        <v>16000</v>
      </c>
      <c r="V141" s="22">
        <v>16000</v>
      </c>
      <c r="W141" s="31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  <c r="AH141" s="22">
        <v>0</v>
      </c>
      <c r="AI141" s="22">
        <v>420</v>
      </c>
      <c r="AJ141" s="22">
        <v>0</v>
      </c>
      <c r="AK141" s="22">
        <v>0</v>
      </c>
      <c r="AL141" s="22">
        <v>0</v>
      </c>
      <c r="AM141" s="22">
        <v>0</v>
      </c>
      <c r="AN141" s="22">
        <v>0</v>
      </c>
      <c r="AO141" s="22">
        <v>0</v>
      </c>
      <c r="AP141" s="22">
        <v>0</v>
      </c>
      <c r="AQ141" s="22">
        <v>0</v>
      </c>
      <c r="AR141" s="22">
        <v>0</v>
      </c>
      <c r="AS141" s="22">
        <v>0</v>
      </c>
      <c r="AT141" s="22">
        <v>0</v>
      </c>
      <c r="AU141" s="19">
        <f t="shared" si="4"/>
        <v>420</v>
      </c>
      <c r="AV141" s="22">
        <v>15580</v>
      </c>
      <c r="AW141" s="24" t="s">
        <v>54</v>
      </c>
      <c r="AX141" s="25">
        <v>45789</v>
      </c>
      <c r="AY141" s="15"/>
      <c r="AZ141" s="26"/>
      <c r="BA141" s="27">
        <f t="shared" si="8"/>
        <v>1.8189894035458565E-12</v>
      </c>
      <c r="BB141" s="14"/>
      <c r="BC141" s="28"/>
    </row>
    <row r="142" spans="1:55" ht="28.8" x14ac:dyDescent="0.4">
      <c r="A142" s="15">
        <v>141</v>
      </c>
      <c r="B142" s="16">
        <v>80764</v>
      </c>
      <c r="C142" s="17" t="s">
        <v>260</v>
      </c>
      <c r="D142" s="16" t="s">
        <v>261</v>
      </c>
      <c r="E142" s="16" t="s">
        <v>276</v>
      </c>
      <c r="F142" s="16">
        <v>30</v>
      </c>
      <c r="G142" s="16">
        <v>19</v>
      </c>
      <c r="H142" s="18">
        <f t="shared" si="7"/>
        <v>11</v>
      </c>
      <c r="I142" s="19">
        <f t="shared" si="1"/>
        <v>5866.666666666667</v>
      </c>
      <c r="J142" s="16">
        <v>0</v>
      </c>
      <c r="K142" s="20">
        <v>0</v>
      </c>
      <c r="L142" s="21"/>
      <c r="M142" s="21"/>
      <c r="N142" s="16">
        <v>0</v>
      </c>
      <c r="O142" s="16">
        <v>0</v>
      </c>
      <c r="P142" s="16">
        <v>0</v>
      </c>
      <c r="Q142" s="16">
        <v>0</v>
      </c>
      <c r="R142" s="16">
        <v>11</v>
      </c>
      <c r="S142" s="22">
        <v>16000</v>
      </c>
      <c r="T142" s="19">
        <f t="shared" si="2"/>
        <v>0</v>
      </c>
      <c r="U142" s="19">
        <f t="shared" si="3"/>
        <v>10133</v>
      </c>
      <c r="V142" s="22">
        <v>10133</v>
      </c>
      <c r="W142" s="31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  <c r="AH142" s="22">
        <v>0</v>
      </c>
      <c r="AI142" s="22">
        <v>266</v>
      </c>
      <c r="AJ142" s="22">
        <v>0</v>
      </c>
      <c r="AK142" s="22">
        <v>0</v>
      </c>
      <c r="AL142" s="22">
        <v>0</v>
      </c>
      <c r="AM142" s="22">
        <v>0</v>
      </c>
      <c r="AN142" s="22">
        <v>0</v>
      </c>
      <c r="AO142" s="22">
        <v>0</v>
      </c>
      <c r="AP142" s="22">
        <v>0</v>
      </c>
      <c r="AQ142" s="22">
        <v>0</v>
      </c>
      <c r="AR142" s="22">
        <v>0</v>
      </c>
      <c r="AS142" s="22">
        <v>0</v>
      </c>
      <c r="AT142" s="22">
        <v>0</v>
      </c>
      <c r="AU142" s="19">
        <f t="shared" si="4"/>
        <v>266</v>
      </c>
      <c r="AV142" s="22">
        <v>9867.33</v>
      </c>
      <c r="AW142" s="24" t="s">
        <v>54</v>
      </c>
      <c r="AX142" s="34"/>
      <c r="AY142" s="15"/>
      <c r="AZ142" s="26"/>
      <c r="BA142" s="27">
        <f t="shared" si="8"/>
        <v>3.3333333340124227E-3</v>
      </c>
      <c r="BB142" s="14"/>
      <c r="BC142" s="28"/>
    </row>
    <row r="143" spans="1:55" ht="28.8" x14ac:dyDescent="0.4">
      <c r="A143" s="15">
        <v>142</v>
      </c>
      <c r="B143" s="16">
        <v>80767</v>
      </c>
      <c r="C143" s="17" t="s">
        <v>260</v>
      </c>
      <c r="D143" s="16" t="s">
        <v>261</v>
      </c>
      <c r="E143" s="16" t="s">
        <v>277</v>
      </c>
      <c r="F143" s="16">
        <v>30</v>
      </c>
      <c r="G143" s="16">
        <v>12</v>
      </c>
      <c r="H143" s="18">
        <f t="shared" si="7"/>
        <v>18</v>
      </c>
      <c r="I143" s="19">
        <f t="shared" si="1"/>
        <v>9600</v>
      </c>
      <c r="J143" s="16">
        <v>0</v>
      </c>
      <c r="K143" s="20">
        <v>0</v>
      </c>
      <c r="L143" s="21"/>
      <c r="M143" s="21"/>
      <c r="N143" s="16">
        <v>0</v>
      </c>
      <c r="O143" s="16">
        <v>0</v>
      </c>
      <c r="P143" s="16">
        <v>0</v>
      </c>
      <c r="Q143" s="16">
        <v>0</v>
      </c>
      <c r="R143" s="16">
        <v>18</v>
      </c>
      <c r="S143" s="22">
        <v>16000</v>
      </c>
      <c r="T143" s="19">
        <f t="shared" si="2"/>
        <v>0</v>
      </c>
      <c r="U143" s="19">
        <f t="shared" si="3"/>
        <v>6400</v>
      </c>
      <c r="V143" s="22">
        <v>6400</v>
      </c>
      <c r="W143" s="31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  <c r="AH143" s="22">
        <v>0</v>
      </c>
      <c r="AI143" s="22">
        <v>168</v>
      </c>
      <c r="AJ143" s="22">
        <v>0</v>
      </c>
      <c r="AK143" s="22">
        <v>0</v>
      </c>
      <c r="AL143" s="22">
        <v>0</v>
      </c>
      <c r="AM143" s="22">
        <v>0</v>
      </c>
      <c r="AN143" s="22">
        <v>0</v>
      </c>
      <c r="AO143" s="22">
        <v>0</v>
      </c>
      <c r="AP143" s="22">
        <v>0</v>
      </c>
      <c r="AQ143" s="22">
        <v>0</v>
      </c>
      <c r="AR143" s="22">
        <v>0</v>
      </c>
      <c r="AS143" s="22">
        <v>0</v>
      </c>
      <c r="AT143" s="22">
        <v>0</v>
      </c>
      <c r="AU143" s="19">
        <f t="shared" si="4"/>
        <v>168</v>
      </c>
      <c r="AV143" s="22">
        <v>6232</v>
      </c>
      <c r="AW143" s="24" t="s">
        <v>54</v>
      </c>
      <c r="AX143" s="25">
        <v>45789</v>
      </c>
      <c r="AY143" s="15"/>
      <c r="AZ143" s="26"/>
      <c r="BA143" s="27">
        <f t="shared" si="8"/>
        <v>0</v>
      </c>
      <c r="BB143" s="14"/>
      <c r="BC143" s="28"/>
    </row>
    <row r="144" spans="1:55" ht="28.8" x14ac:dyDescent="0.4">
      <c r="A144" s="15">
        <v>143</v>
      </c>
      <c r="B144" s="16">
        <v>80769</v>
      </c>
      <c r="C144" s="17" t="s">
        <v>278</v>
      </c>
      <c r="D144" s="16" t="s">
        <v>221</v>
      </c>
      <c r="E144" s="16" t="s">
        <v>279</v>
      </c>
      <c r="F144" s="16">
        <v>30</v>
      </c>
      <c r="G144" s="16">
        <v>13</v>
      </c>
      <c r="H144" s="18">
        <f t="shared" si="7"/>
        <v>17</v>
      </c>
      <c r="I144" s="19">
        <f t="shared" si="1"/>
        <v>9066.6666666666679</v>
      </c>
      <c r="J144" s="16">
        <v>0</v>
      </c>
      <c r="K144" s="20">
        <v>0</v>
      </c>
      <c r="L144" s="21"/>
      <c r="M144" s="21"/>
      <c r="N144" s="16">
        <v>0</v>
      </c>
      <c r="O144" s="16">
        <v>0</v>
      </c>
      <c r="P144" s="16">
        <v>0</v>
      </c>
      <c r="Q144" s="16">
        <v>0</v>
      </c>
      <c r="R144" s="16">
        <v>17</v>
      </c>
      <c r="S144" s="22">
        <v>16000</v>
      </c>
      <c r="T144" s="19">
        <f t="shared" si="2"/>
        <v>0</v>
      </c>
      <c r="U144" s="19">
        <f t="shared" si="3"/>
        <v>6933</v>
      </c>
      <c r="V144" s="22">
        <v>6933</v>
      </c>
      <c r="W144" s="31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  <c r="AH144" s="22">
        <v>0</v>
      </c>
      <c r="AI144" s="22">
        <v>455</v>
      </c>
      <c r="AJ144" s="22">
        <v>0</v>
      </c>
      <c r="AK144" s="22">
        <v>0</v>
      </c>
      <c r="AL144" s="22">
        <v>0</v>
      </c>
      <c r="AM144" s="22">
        <v>0</v>
      </c>
      <c r="AN144" s="22">
        <v>0</v>
      </c>
      <c r="AO144" s="22">
        <v>0</v>
      </c>
      <c r="AP144" s="22">
        <v>0</v>
      </c>
      <c r="AQ144" s="22">
        <v>0</v>
      </c>
      <c r="AR144" s="22">
        <v>0</v>
      </c>
      <c r="AS144" s="22">
        <v>0</v>
      </c>
      <c r="AT144" s="22">
        <v>0</v>
      </c>
      <c r="AU144" s="19">
        <f t="shared" si="4"/>
        <v>455</v>
      </c>
      <c r="AV144" s="22">
        <f>6023.33+455</f>
        <v>6478.33</v>
      </c>
      <c r="AW144" s="24" t="s">
        <v>54</v>
      </c>
      <c r="AX144" s="25">
        <v>45789</v>
      </c>
      <c r="AY144" s="15"/>
      <c r="AZ144" s="26"/>
      <c r="BA144" s="27">
        <f t="shared" si="8"/>
        <v>3.3333333340124227E-3</v>
      </c>
      <c r="BB144" s="14"/>
      <c r="BC144" s="28"/>
    </row>
    <row r="145" spans="1:55" ht="28.8" x14ac:dyDescent="0.4">
      <c r="A145" s="15">
        <v>144</v>
      </c>
      <c r="B145" s="16">
        <v>80770</v>
      </c>
      <c r="C145" s="17" t="s">
        <v>278</v>
      </c>
      <c r="D145" s="16" t="s">
        <v>280</v>
      </c>
      <c r="E145" s="16" t="s">
        <v>281</v>
      </c>
      <c r="F145" s="16">
        <v>30</v>
      </c>
      <c r="G145" s="16">
        <v>15</v>
      </c>
      <c r="H145" s="18">
        <f t="shared" si="7"/>
        <v>15</v>
      </c>
      <c r="I145" s="19">
        <f t="shared" si="1"/>
        <v>10000</v>
      </c>
      <c r="J145" s="16">
        <v>0</v>
      </c>
      <c r="K145" s="20">
        <v>0</v>
      </c>
      <c r="L145" s="21"/>
      <c r="M145" s="21"/>
      <c r="N145" s="16">
        <v>0</v>
      </c>
      <c r="O145" s="16">
        <v>0</v>
      </c>
      <c r="P145" s="16">
        <v>0</v>
      </c>
      <c r="Q145" s="16">
        <v>0</v>
      </c>
      <c r="R145" s="16">
        <v>15</v>
      </c>
      <c r="S145" s="22">
        <v>20000</v>
      </c>
      <c r="T145" s="19">
        <f t="shared" si="2"/>
        <v>0</v>
      </c>
      <c r="U145" s="19">
        <f t="shared" si="3"/>
        <v>10000</v>
      </c>
      <c r="V145" s="22">
        <v>10000</v>
      </c>
      <c r="W145" s="31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>
        <v>0</v>
      </c>
      <c r="AG145" s="22">
        <v>0</v>
      </c>
      <c r="AH145" s="22">
        <v>0</v>
      </c>
      <c r="AI145" s="22">
        <v>525</v>
      </c>
      <c r="AJ145" s="22">
        <v>0</v>
      </c>
      <c r="AK145" s="22">
        <v>0</v>
      </c>
      <c r="AL145" s="22">
        <v>0</v>
      </c>
      <c r="AM145" s="22">
        <v>0</v>
      </c>
      <c r="AN145" s="22">
        <v>0</v>
      </c>
      <c r="AO145" s="22">
        <v>0</v>
      </c>
      <c r="AP145" s="22">
        <v>0</v>
      </c>
      <c r="AQ145" s="22">
        <v>0</v>
      </c>
      <c r="AR145" s="22">
        <v>0</v>
      </c>
      <c r="AS145" s="22">
        <v>0</v>
      </c>
      <c r="AT145" s="22">
        <v>0</v>
      </c>
      <c r="AU145" s="19">
        <f t="shared" si="4"/>
        <v>525</v>
      </c>
      <c r="AV145" s="22">
        <f>8985+490</f>
        <v>9475</v>
      </c>
      <c r="AW145" s="24" t="s">
        <v>54</v>
      </c>
      <c r="AX145" s="25">
        <v>45789</v>
      </c>
      <c r="AY145" s="15"/>
      <c r="AZ145" s="26"/>
      <c r="BA145" s="27">
        <f t="shared" si="8"/>
        <v>0</v>
      </c>
      <c r="BB145" s="14"/>
      <c r="BC145" s="28"/>
    </row>
    <row r="146" spans="1:55" ht="28.8" x14ac:dyDescent="0.4">
      <c r="A146" s="15">
        <v>145</v>
      </c>
      <c r="B146" s="16">
        <v>80773</v>
      </c>
      <c r="C146" s="17" t="s">
        <v>278</v>
      </c>
      <c r="D146" s="16" t="s">
        <v>221</v>
      </c>
      <c r="E146" s="16" t="s">
        <v>282</v>
      </c>
      <c r="F146" s="16">
        <v>30</v>
      </c>
      <c r="G146" s="16">
        <v>13</v>
      </c>
      <c r="H146" s="18">
        <f t="shared" si="7"/>
        <v>17</v>
      </c>
      <c r="I146" s="19">
        <f t="shared" si="1"/>
        <v>9066.6666666666679</v>
      </c>
      <c r="J146" s="16">
        <v>0</v>
      </c>
      <c r="K146" s="20">
        <v>0</v>
      </c>
      <c r="L146" s="21"/>
      <c r="M146" s="21"/>
      <c r="N146" s="16">
        <v>0</v>
      </c>
      <c r="O146" s="16">
        <v>0</v>
      </c>
      <c r="P146" s="16">
        <v>0</v>
      </c>
      <c r="Q146" s="16">
        <v>0</v>
      </c>
      <c r="R146" s="16">
        <v>17</v>
      </c>
      <c r="S146" s="22">
        <v>16000</v>
      </c>
      <c r="T146" s="19">
        <f t="shared" si="2"/>
        <v>0</v>
      </c>
      <c r="U146" s="19">
        <f t="shared" si="3"/>
        <v>6933</v>
      </c>
      <c r="V146" s="22">
        <v>6933</v>
      </c>
      <c r="W146" s="31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>
        <v>0</v>
      </c>
      <c r="AG146" s="22">
        <v>0</v>
      </c>
      <c r="AH146" s="22">
        <v>0</v>
      </c>
      <c r="AI146" s="22">
        <v>455</v>
      </c>
      <c r="AJ146" s="22">
        <v>0</v>
      </c>
      <c r="AK146" s="22">
        <v>0</v>
      </c>
      <c r="AL146" s="22">
        <v>0</v>
      </c>
      <c r="AM146" s="22">
        <v>0</v>
      </c>
      <c r="AN146" s="22">
        <v>0</v>
      </c>
      <c r="AO146" s="22">
        <v>0</v>
      </c>
      <c r="AP146" s="22">
        <v>0</v>
      </c>
      <c r="AQ146" s="22">
        <v>0</v>
      </c>
      <c r="AR146" s="22">
        <v>0</v>
      </c>
      <c r="AS146" s="22">
        <v>0</v>
      </c>
      <c r="AT146" s="22">
        <v>0</v>
      </c>
      <c r="AU146" s="19">
        <f t="shared" si="4"/>
        <v>455</v>
      </c>
      <c r="AV146" s="22">
        <f>6023.33+455</f>
        <v>6478.33</v>
      </c>
      <c r="AW146" s="24" t="s">
        <v>54</v>
      </c>
      <c r="AX146" s="25">
        <v>45789</v>
      </c>
      <c r="AY146" s="15"/>
      <c r="AZ146" s="26"/>
      <c r="BA146" s="27">
        <f t="shared" si="8"/>
        <v>3.3333333340124227E-3</v>
      </c>
      <c r="BB146" s="14"/>
      <c r="BC146" s="28"/>
    </row>
    <row r="147" spans="1:55" ht="28.8" x14ac:dyDescent="0.4">
      <c r="A147" s="15">
        <v>146</v>
      </c>
      <c r="B147" s="16">
        <v>80774</v>
      </c>
      <c r="C147" s="17" t="s">
        <v>278</v>
      </c>
      <c r="D147" s="16" t="s">
        <v>221</v>
      </c>
      <c r="E147" s="16" t="s">
        <v>283</v>
      </c>
      <c r="F147" s="16">
        <v>30</v>
      </c>
      <c r="G147" s="16">
        <v>18</v>
      </c>
      <c r="H147" s="18">
        <f t="shared" si="7"/>
        <v>12</v>
      </c>
      <c r="I147" s="19">
        <f t="shared" si="1"/>
        <v>6400</v>
      </c>
      <c r="J147" s="16">
        <v>0</v>
      </c>
      <c r="K147" s="20">
        <v>0</v>
      </c>
      <c r="L147" s="21"/>
      <c r="M147" s="21"/>
      <c r="N147" s="16">
        <v>0</v>
      </c>
      <c r="O147" s="16">
        <v>0</v>
      </c>
      <c r="P147" s="16">
        <v>0</v>
      </c>
      <c r="Q147" s="16">
        <v>0</v>
      </c>
      <c r="R147" s="16">
        <v>12</v>
      </c>
      <c r="S147" s="22">
        <v>16000</v>
      </c>
      <c r="T147" s="19">
        <f t="shared" si="2"/>
        <v>0</v>
      </c>
      <c r="U147" s="19">
        <f t="shared" si="3"/>
        <v>9600</v>
      </c>
      <c r="V147" s="22">
        <v>9600</v>
      </c>
      <c r="W147" s="31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  <c r="AH147" s="22">
        <v>0</v>
      </c>
      <c r="AI147" s="22">
        <v>630</v>
      </c>
      <c r="AJ147" s="22">
        <v>0</v>
      </c>
      <c r="AK147" s="22">
        <v>0</v>
      </c>
      <c r="AL147" s="22">
        <v>0</v>
      </c>
      <c r="AM147" s="22">
        <v>0</v>
      </c>
      <c r="AN147" s="22">
        <v>0</v>
      </c>
      <c r="AO147" s="22">
        <v>0</v>
      </c>
      <c r="AP147" s="22">
        <v>0</v>
      </c>
      <c r="AQ147" s="22">
        <v>0</v>
      </c>
      <c r="AR147" s="22">
        <v>0</v>
      </c>
      <c r="AS147" s="22">
        <v>0</v>
      </c>
      <c r="AT147" s="22">
        <v>0</v>
      </c>
      <c r="AU147" s="19">
        <f t="shared" si="4"/>
        <v>630</v>
      </c>
      <c r="AV147" s="22">
        <f>8340+630</f>
        <v>8970</v>
      </c>
      <c r="AW147" s="24" t="s">
        <v>54</v>
      </c>
      <c r="AX147" s="25">
        <v>45789</v>
      </c>
      <c r="AY147" s="15"/>
      <c r="AZ147" s="26"/>
      <c r="BA147" s="27">
        <f t="shared" si="8"/>
        <v>0</v>
      </c>
      <c r="BB147" s="14"/>
      <c r="BC147" s="28"/>
    </row>
    <row r="148" spans="1:55" ht="42.6" x14ac:dyDescent="0.4">
      <c r="A148" s="15">
        <v>147</v>
      </c>
      <c r="B148" s="16">
        <v>80789</v>
      </c>
      <c r="C148" s="17" t="s">
        <v>278</v>
      </c>
      <c r="D148" s="16" t="s">
        <v>221</v>
      </c>
      <c r="E148" s="16" t="s">
        <v>284</v>
      </c>
      <c r="F148" s="16">
        <v>30</v>
      </c>
      <c r="G148" s="16">
        <v>9</v>
      </c>
      <c r="H148" s="18">
        <f t="shared" si="7"/>
        <v>21</v>
      </c>
      <c r="I148" s="19">
        <f t="shared" si="1"/>
        <v>11200</v>
      </c>
      <c r="J148" s="16">
        <v>0</v>
      </c>
      <c r="K148" s="20">
        <v>0</v>
      </c>
      <c r="L148" s="21"/>
      <c r="M148" s="21"/>
      <c r="N148" s="16">
        <v>0</v>
      </c>
      <c r="O148" s="16">
        <v>0</v>
      </c>
      <c r="P148" s="16">
        <v>0</v>
      </c>
      <c r="Q148" s="16">
        <v>0</v>
      </c>
      <c r="R148" s="16">
        <v>21</v>
      </c>
      <c r="S148" s="22">
        <v>16000</v>
      </c>
      <c r="T148" s="19">
        <f t="shared" si="2"/>
        <v>0</v>
      </c>
      <c r="U148" s="19">
        <f t="shared" si="3"/>
        <v>4800</v>
      </c>
      <c r="V148" s="22">
        <v>4800</v>
      </c>
      <c r="W148" s="31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  <c r="AH148" s="22">
        <v>0</v>
      </c>
      <c r="AI148" s="22">
        <v>315</v>
      </c>
      <c r="AJ148" s="22">
        <v>0</v>
      </c>
      <c r="AK148" s="22">
        <v>0</v>
      </c>
      <c r="AL148" s="22">
        <v>0</v>
      </c>
      <c r="AM148" s="22">
        <v>0</v>
      </c>
      <c r="AN148" s="22">
        <v>0</v>
      </c>
      <c r="AO148" s="22">
        <v>0</v>
      </c>
      <c r="AP148" s="22">
        <v>0</v>
      </c>
      <c r="AQ148" s="22">
        <v>0</v>
      </c>
      <c r="AR148" s="22">
        <v>0</v>
      </c>
      <c r="AS148" s="22">
        <v>0</v>
      </c>
      <c r="AT148" s="22">
        <v>0</v>
      </c>
      <c r="AU148" s="19">
        <f t="shared" si="4"/>
        <v>315</v>
      </c>
      <c r="AV148" s="22">
        <f>4170+315</f>
        <v>4485</v>
      </c>
      <c r="AW148" s="24" t="s">
        <v>54</v>
      </c>
      <c r="AX148" s="25">
        <v>45790</v>
      </c>
      <c r="AY148" s="15"/>
      <c r="AZ148" s="26"/>
      <c r="BA148" s="27">
        <f t="shared" si="8"/>
        <v>0</v>
      </c>
      <c r="BB148" s="14"/>
      <c r="BC148" s="28"/>
    </row>
    <row r="149" spans="1:55" ht="28.8" x14ac:dyDescent="0.4">
      <c r="A149" s="15">
        <v>148</v>
      </c>
      <c r="B149" s="16">
        <v>80793</v>
      </c>
      <c r="C149" s="17" t="s">
        <v>278</v>
      </c>
      <c r="D149" s="16" t="s">
        <v>221</v>
      </c>
      <c r="E149" s="16" t="s">
        <v>285</v>
      </c>
      <c r="F149" s="16">
        <v>30</v>
      </c>
      <c r="G149" s="16">
        <v>8</v>
      </c>
      <c r="H149" s="18">
        <f t="shared" si="7"/>
        <v>22</v>
      </c>
      <c r="I149" s="19">
        <f t="shared" si="1"/>
        <v>11733.333333333334</v>
      </c>
      <c r="J149" s="16">
        <v>0</v>
      </c>
      <c r="K149" s="20">
        <v>0</v>
      </c>
      <c r="L149" s="21"/>
      <c r="M149" s="21"/>
      <c r="N149" s="16">
        <v>0</v>
      </c>
      <c r="O149" s="16">
        <v>0</v>
      </c>
      <c r="P149" s="16">
        <v>0</v>
      </c>
      <c r="Q149" s="16">
        <v>0</v>
      </c>
      <c r="R149" s="16">
        <v>22</v>
      </c>
      <c r="S149" s="22">
        <v>16000</v>
      </c>
      <c r="T149" s="19">
        <f t="shared" si="2"/>
        <v>0</v>
      </c>
      <c r="U149" s="19">
        <f t="shared" si="3"/>
        <v>4267</v>
      </c>
      <c r="V149" s="22">
        <v>4267</v>
      </c>
      <c r="W149" s="31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  <c r="AH149" s="22">
        <v>0</v>
      </c>
      <c r="AI149" s="22">
        <v>280</v>
      </c>
      <c r="AJ149" s="22">
        <v>0</v>
      </c>
      <c r="AK149" s="22">
        <v>0</v>
      </c>
      <c r="AL149" s="22">
        <v>0</v>
      </c>
      <c r="AM149" s="22">
        <v>0</v>
      </c>
      <c r="AN149" s="22">
        <v>0</v>
      </c>
      <c r="AO149" s="22">
        <v>0</v>
      </c>
      <c r="AP149" s="22">
        <v>0</v>
      </c>
      <c r="AQ149" s="22">
        <v>0</v>
      </c>
      <c r="AR149" s="22">
        <v>0</v>
      </c>
      <c r="AS149" s="22">
        <v>0</v>
      </c>
      <c r="AT149" s="22">
        <v>0</v>
      </c>
      <c r="AU149" s="19">
        <f t="shared" si="4"/>
        <v>280</v>
      </c>
      <c r="AV149" s="22">
        <f>3706.67+280</f>
        <v>3986.67</v>
      </c>
      <c r="AW149" s="24" t="s">
        <v>54</v>
      </c>
      <c r="AX149" s="25">
        <v>45789</v>
      </c>
      <c r="AY149" s="15"/>
      <c r="AZ149" s="26"/>
      <c r="BA149" s="27">
        <f t="shared" si="8"/>
        <v>-3.333333333102928E-3</v>
      </c>
      <c r="BB149" s="14"/>
      <c r="BC149" s="28"/>
    </row>
    <row r="150" spans="1:55" ht="28.8" x14ac:dyDescent="0.4">
      <c r="A150" s="15">
        <v>149</v>
      </c>
      <c r="B150" s="36">
        <v>30219</v>
      </c>
      <c r="C150" s="37" t="s">
        <v>286</v>
      </c>
      <c r="D150" s="36" t="s">
        <v>286</v>
      </c>
      <c r="E150" s="36" t="s">
        <v>287</v>
      </c>
      <c r="F150" s="16">
        <v>30</v>
      </c>
      <c r="G150" s="16">
        <v>23</v>
      </c>
      <c r="H150" s="18">
        <f t="shared" si="7"/>
        <v>7</v>
      </c>
      <c r="I150" s="19">
        <f t="shared" si="1"/>
        <v>6533.3333333333339</v>
      </c>
      <c r="J150" s="16">
        <v>0</v>
      </c>
      <c r="K150" s="20">
        <v>0</v>
      </c>
      <c r="L150" s="21"/>
      <c r="M150" s="21"/>
      <c r="N150" s="16">
        <v>0</v>
      </c>
      <c r="O150" s="16">
        <v>0</v>
      </c>
      <c r="P150" s="16">
        <v>0</v>
      </c>
      <c r="Q150" s="16">
        <v>0</v>
      </c>
      <c r="R150" s="16">
        <v>7</v>
      </c>
      <c r="S150" s="22">
        <v>28000</v>
      </c>
      <c r="T150" s="19">
        <f t="shared" si="2"/>
        <v>0</v>
      </c>
      <c r="U150" s="19">
        <f t="shared" si="3"/>
        <v>21467</v>
      </c>
      <c r="V150" s="22">
        <v>21467</v>
      </c>
      <c r="W150" s="31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5000</v>
      </c>
      <c r="AG150" s="22">
        <v>0</v>
      </c>
      <c r="AH150" s="22">
        <v>0</v>
      </c>
      <c r="AI150" s="22">
        <v>0</v>
      </c>
      <c r="AJ150" s="22">
        <v>0</v>
      </c>
      <c r="AK150" s="22">
        <v>0</v>
      </c>
      <c r="AL150" s="22">
        <v>0</v>
      </c>
      <c r="AM150" s="22">
        <v>0</v>
      </c>
      <c r="AN150" s="22">
        <v>0</v>
      </c>
      <c r="AO150" s="22">
        <v>0</v>
      </c>
      <c r="AP150" s="22">
        <v>0</v>
      </c>
      <c r="AQ150" s="22">
        <v>0</v>
      </c>
      <c r="AR150" s="22">
        <v>0</v>
      </c>
      <c r="AS150" s="22">
        <v>0</v>
      </c>
      <c r="AT150" s="22">
        <v>0</v>
      </c>
      <c r="AU150" s="19">
        <f t="shared" si="4"/>
        <v>5000</v>
      </c>
      <c r="AV150" s="22">
        <v>16466.669999999998</v>
      </c>
      <c r="AW150" s="24" t="s">
        <v>54</v>
      </c>
      <c r="AX150" s="34"/>
      <c r="AY150" s="15"/>
      <c r="AZ150" s="26"/>
      <c r="BA150" s="27">
        <f t="shared" si="8"/>
        <v>-3.3333333303744439E-3</v>
      </c>
      <c r="BB150" s="14"/>
      <c r="BC150" s="28"/>
    </row>
    <row r="151" spans="1:55" ht="21" x14ac:dyDescent="0.4">
      <c r="A151" s="15">
        <v>150</v>
      </c>
      <c r="B151" s="36">
        <v>14077</v>
      </c>
      <c r="C151" s="37" t="s">
        <v>286</v>
      </c>
      <c r="D151" s="36" t="s">
        <v>286</v>
      </c>
      <c r="E151" s="36" t="s">
        <v>288</v>
      </c>
      <c r="F151" s="16">
        <v>30</v>
      </c>
      <c r="G151" s="16">
        <v>29</v>
      </c>
      <c r="H151" s="18">
        <f t="shared" si="7"/>
        <v>1</v>
      </c>
      <c r="I151" s="19">
        <f t="shared" si="1"/>
        <v>933.33333333333337</v>
      </c>
      <c r="J151" s="16">
        <v>2</v>
      </c>
      <c r="K151" s="33">
        <v>1</v>
      </c>
      <c r="L151" s="21"/>
      <c r="M151" s="21"/>
      <c r="N151" s="16">
        <v>0</v>
      </c>
      <c r="O151" s="16">
        <v>0</v>
      </c>
      <c r="P151" s="16">
        <v>1</v>
      </c>
      <c r="Q151" s="16">
        <v>0</v>
      </c>
      <c r="R151" s="16">
        <v>0</v>
      </c>
      <c r="S151" s="22">
        <v>28000</v>
      </c>
      <c r="T151" s="19">
        <f t="shared" si="2"/>
        <v>933.33333333333337</v>
      </c>
      <c r="U151" s="19">
        <f t="shared" si="3"/>
        <v>27066</v>
      </c>
      <c r="V151" s="22">
        <v>25200</v>
      </c>
      <c r="W151" s="31">
        <f>933+933</f>
        <v>1866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1050</v>
      </c>
      <c r="AD151" s="22">
        <v>0</v>
      </c>
      <c r="AE151" s="22">
        <v>0</v>
      </c>
      <c r="AF151" s="22">
        <v>4000</v>
      </c>
      <c r="AG151" s="22">
        <v>0</v>
      </c>
      <c r="AH151" s="22">
        <v>0</v>
      </c>
      <c r="AI151" s="22">
        <v>0</v>
      </c>
      <c r="AJ151" s="22">
        <v>0</v>
      </c>
      <c r="AK151" s="22">
        <v>0</v>
      </c>
      <c r="AL151" s="22">
        <v>0</v>
      </c>
      <c r="AM151" s="22">
        <v>0</v>
      </c>
      <c r="AN151" s="22">
        <v>0</v>
      </c>
      <c r="AO151" s="22">
        <v>0</v>
      </c>
      <c r="AP151" s="22">
        <v>0</v>
      </c>
      <c r="AQ151" s="22">
        <v>0</v>
      </c>
      <c r="AR151" s="22">
        <v>0</v>
      </c>
      <c r="AS151" s="22">
        <v>0</v>
      </c>
      <c r="AT151" s="22">
        <v>0</v>
      </c>
      <c r="AU151" s="19">
        <f t="shared" si="4"/>
        <v>5050</v>
      </c>
      <c r="AV151" s="22">
        <f>21083.33+933</f>
        <v>22016.33</v>
      </c>
      <c r="AW151" s="24" t="s">
        <v>54</v>
      </c>
      <c r="AX151" s="34"/>
      <c r="AY151" s="15"/>
      <c r="AZ151" s="26"/>
      <c r="BA151" s="27">
        <f t="shared" si="8"/>
        <v>-932.99666666666599</v>
      </c>
      <c r="BB151" s="14"/>
      <c r="BC151" s="28"/>
    </row>
    <row r="152" spans="1:55" ht="42.6" x14ac:dyDescent="0.4">
      <c r="A152" s="15">
        <v>151</v>
      </c>
      <c r="B152" s="36">
        <v>80634</v>
      </c>
      <c r="C152" s="37" t="s">
        <v>286</v>
      </c>
      <c r="D152" s="36" t="s">
        <v>289</v>
      </c>
      <c r="E152" s="36" t="s">
        <v>290</v>
      </c>
      <c r="F152" s="16">
        <v>30</v>
      </c>
      <c r="G152" s="16">
        <v>28</v>
      </c>
      <c r="H152" s="18">
        <f t="shared" si="7"/>
        <v>2</v>
      </c>
      <c r="I152" s="19">
        <f t="shared" si="1"/>
        <v>1866.6666666666667</v>
      </c>
      <c r="J152" s="16">
        <v>0</v>
      </c>
      <c r="K152" s="20">
        <v>0</v>
      </c>
      <c r="L152" s="21"/>
      <c r="M152" s="21"/>
      <c r="N152" s="16">
        <v>0</v>
      </c>
      <c r="O152" s="16">
        <v>0</v>
      </c>
      <c r="P152" s="16">
        <v>2</v>
      </c>
      <c r="Q152" s="16">
        <v>0</v>
      </c>
      <c r="R152" s="16">
        <v>0</v>
      </c>
      <c r="S152" s="22">
        <v>28000</v>
      </c>
      <c r="T152" s="19">
        <f t="shared" si="2"/>
        <v>0</v>
      </c>
      <c r="U152" s="19">
        <f t="shared" si="3"/>
        <v>26133</v>
      </c>
      <c r="V152" s="22">
        <v>26133</v>
      </c>
      <c r="W152" s="31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4000</v>
      </c>
      <c r="AG152" s="22">
        <v>0</v>
      </c>
      <c r="AH152" s="22">
        <v>0</v>
      </c>
      <c r="AI152" s="22">
        <v>0</v>
      </c>
      <c r="AJ152" s="22">
        <v>0</v>
      </c>
      <c r="AK152" s="22">
        <v>0</v>
      </c>
      <c r="AL152" s="22">
        <v>0</v>
      </c>
      <c r="AM152" s="22">
        <v>0</v>
      </c>
      <c r="AN152" s="22">
        <v>0</v>
      </c>
      <c r="AO152" s="22">
        <v>0</v>
      </c>
      <c r="AP152" s="22">
        <v>0</v>
      </c>
      <c r="AQ152" s="22">
        <v>0</v>
      </c>
      <c r="AR152" s="22">
        <v>0</v>
      </c>
      <c r="AS152" s="22">
        <v>0</v>
      </c>
      <c r="AT152" s="22">
        <v>0</v>
      </c>
      <c r="AU152" s="19">
        <f t="shared" si="4"/>
        <v>4000</v>
      </c>
      <c r="AV152" s="22">
        <v>22133.33</v>
      </c>
      <c r="AW152" s="24" t="s">
        <v>54</v>
      </c>
      <c r="AX152" s="34"/>
      <c r="AY152" s="15"/>
      <c r="AZ152" s="26"/>
      <c r="BA152" s="27">
        <f t="shared" si="8"/>
        <v>3.3333333340124227E-3</v>
      </c>
      <c r="BB152" s="14"/>
      <c r="BC152" s="28"/>
    </row>
    <row r="153" spans="1:55" ht="28.8" x14ac:dyDescent="0.4">
      <c r="A153" s="15">
        <v>152</v>
      </c>
      <c r="B153" s="36">
        <v>80655</v>
      </c>
      <c r="C153" s="37" t="s">
        <v>286</v>
      </c>
      <c r="D153" s="36" t="s">
        <v>286</v>
      </c>
      <c r="E153" s="36" t="s">
        <v>291</v>
      </c>
      <c r="F153" s="16">
        <v>30</v>
      </c>
      <c r="G153" s="16">
        <v>29</v>
      </c>
      <c r="H153" s="18">
        <f t="shared" si="7"/>
        <v>1</v>
      </c>
      <c r="I153" s="19">
        <f t="shared" si="1"/>
        <v>933.33333333333337</v>
      </c>
      <c r="J153" s="16">
        <v>0</v>
      </c>
      <c r="K153" s="20">
        <v>0</v>
      </c>
      <c r="L153" s="21"/>
      <c r="M153" s="21"/>
      <c r="N153" s="16">
        <v>0</v>
      </c>
      <c r="O153" s="16">
        <v>0</v>
      </c>
      <c r="P153" s="16">
        <v>1</v>
      </c>
      <c r="Q153" s="16">
        <v>0</v>
      </c>
      <c r="R153" s="16">
        <v>0</v>
      </c>
      <c r="S153" s="22">
        <v>28000</v>
      </c>
      <c r="T153" s="19">
        <f t="shared" si="2"/>
        <v>0</v>
      </c>
      <c r="U153" s="19">
        <f t="shared" si="3"/>
        <v>27067</v>
      </c>
      <c r="V153" s="22">
        <v>27067</v>
      </c>
      <c r="W153" s="31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2205</v>
      </c>
      <c r="AD153" s="22">
        <v>0</v>
      </c>
      <c r="AE153" s="22">
        <v>0</v>
      </c>
      <c r="AF153" s="22">
        <v>0</v>
      </c>
      <c r="AG153" s="22">
        <v>0</v>
      </c>
      <c r="AH153" s="22">
        <v>0</v>
      </c>
      <c r="AI153" s="22">
        <v>0</v>
      </c>
      <c r="AJ153" s="22">
        <v>0</v>
      </c>
      <c r="AK153" s="22">
        <v>0</v>
      </c>
      <c r="AL153" s="22">
        <v>0</v>
      </c>
      <c r="AM153" s="22">
        <v>0</v>
      </c>
      <c r="AN153" s="22">
        <v>0</v>
      </c>
      <c r="AO153" s="22">
        <v>0</v>
      </c>
      <c r="AP153" s="22">
        <v>0</v>
      </c>
      <c r="AQ153" s="22">
        <v>0</v>
      </c>
      <c r="AR153" s="22">
        <v>0</v>
      </c>
      <c r="AS153" s="22">
        <v>0</v>
      </c>
      <c r="AT153" s="22">
        <v>0</v>
      </c>
      <c r="AU153" s="19">
        <f t="shared" si="4"/>
        <v>2205</v>
      </c>
      <c r="AV153" s="22">
        <v>24861.67</v>
      </c>
      <c r="AW153" s="24" t="s">
        <v>54</v>
      </c>
      <c r="AX153" s="34"/>
      <c r="AY153" s="15"/>
      <c r="AZ153" s="26"/>
      <c r="BA153" s="27">
        <f t="shared" si="8"/>
        <v>-3.3333333303744439E-3</v>
      </c>
      <c r="BB153" s="14"/>
      <c r="BC153" s="28"/>
    </row>
    <row r="154" spans="1:55" ht="28.8" x14ac:dyDescent="0.4">
      <c r="A154" s="15">
        <v>153</v>
      </c>
      <c r="B154" s="16">
        <v>23007</v>
      </c>
      <c r="C154" s="17" t="s">
        <v>286</v>
      </c>
      <c r="D154" s="16" t="s">
        <v>292</v>
      </c>
      <c r="E154" s="16" t="s">
        <v>293</v>
      </c>
      <c r="F154" s="16">
        <v>30</v>
      </c>
      <c r="G154" s="16">
        <v>29</v>
      </c>
      <c r="H154" s="18">
        <f t="shared" si="7"/>
        <v>1</v>
      </c>
      <c r="I154" s="19">
        <f t="shared" si="1"/>
        <v>1318.3866666666665</v>
      </c>
      <c r="J154" s="16">
        <v>1</v>
      </c>
      <c r="K154" s="20">
        <v>0</v>
      </c>
      <c r="L154" s="21"/>
      <c r="M154" s="21"/>
      <c r="N154" s="16">
        <v>0</v>
      </c>
      <c r="O154" s="16">
        <v>0</v>
      </c>
      <c r="P154" s="16">
        <v>1</v>
      </c>
      <c r="Q154" s="16">
        <v>0</v>
      </c>
      <c r="R154" s="16">
        <v>0</v>
      </c>
      <c r="S154" s="22">
        <v>39551.599999999999</v>
      </c>
      <c r="T154" s="19">
        <f t="shared" si="2"/>
        <v>0</v>
      </c>
      <c r="U154" s="19">
        <f t="shared" si="3"/>
        <v>38233</v>
      </c>
      <c r="V154" s="22">
        <v>36915</v>
      </c>
      <c r="W154" s="31">
        <v>1318</v>
      </c>
      <c r="X154" s="22">
        <v>0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7000</v>
      </c>
      <c r="AG154" s="22">
        <v>0</v>
      </c>
      <c r="AH154" s="22">
        <v>0</v>
      </c>
      <c r="AI154" s="22">
        <v>0</v>
      </c>
      <c r="AJ154" s="22">
        <v>0</v>
      </c>
      <c r="AK154" s="22">
        <v>0</v>
      </c>
      <c r="AL154" s="22">
        <v>0</v>
      </c>
      <c r="AM154" s="22">
        <v>0</v>
      </c>
      <c r="AN154" s="22">
        <v>0</v>
      </c>
      <c r="AO154" s="22">
        <v>0</v>
      </c>
      <c r="AP154" s="22">
        <v>0</v>
      </c>
      <c r="AQ154" s="22">
        <v>0</v>
      </c>
      <c r="AR154" s="22">
        <v>0</v>
      </c>
      <c r="AS154" s="22">
        <v>0</v>
      </c>
      <c r="AT154" s="22">
        <v>0</v>
      </c>
      <c r="AU154" s="19">
        <f t="shared" si="4"/>
        <v>7000</v>
      </c>
      <c r="AV154" s="22">
        <v>31233.21</v>
      </c>
      <c r="AW154" s="24" t="s">
        <v>54</v>
      </c>
      <c r="AX154" s="25">
        <v>45789</v>
      </c>
      <c r="AY154" s="15"/>
      <c r="AZ154" s="26"/>
      <c r="BA154" s="27">
        <f t="shared" si="8"/>
        <v>3.3333333340124227E-3</v>
      </c>
      <c r="BB154" s="14"/>
      <c r="BC154" s="28"/>
    </row>
    <row r="155" spans="1:55" ht="28.8" x14ac:dyDescent="0.4">
      <c r="A155" s="15">
        <v>154</v>
      </c>
      <c r="B155" s="16">
        <v>14023</v>
      </c>
      <c r="C155" s="17" t="s">
        <v>286</v>
      </c>
      <c r="D155" s="16" t="s">
        <v>286</v>
      </c>
      <c r="E155" s="16" t="s">
        <v>294</v>
      </c>
      <c r="F155" s="16">
        <v>30</v>
      </c>
      <c r="G155" s="16">
        <v>30</v>
      </c>
      <c r="H155" s="18">
        <f t="shared" si="7"/>
        <v>0</v>
      </c>
      <c r="I155" s="19">
        <f t="shared" si="1"/>
        <v>0</v>
      </c>
      <c r="J155" s="16">
        <v>2</v>
      </c>
      <c r="K155" s="33">
        <v>1</v>
      </c>
      <c r="L155" s="21"/>
      <c r="M155" s="21"/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22">
        <v>32600</v>
      </c>
      <c r="T155" s="19">
        <f t="shared" si="2"/>
        <v>1086.6666666666667</v>
      </c>
      <c r="U155" s="19">
        <f t="shared" si="3"/>
        <v>32601</v>
      </c>
      <c r="V155" s="22">
        <v>30427</v>
      </c>
      <c r="W155" s="31">
        <f>1087+1087</f>
        <v>2174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2250</v>
      </c>
      <c r="AD155" s="22">
        <v>0</v>
      </c>
      <c r="AE155" s="22">
        <v>0</v>
      </c>
      <c r="AF155" s="22">
        <v>6000</v>
      </c>
      <c r="AG155" s="22">
        <v>0</v>
      </c>
      <c r="AH155" s="22">
        <v>0</v>
      </c>
      <c r="AI155" s="22">
        <v>0</v>
      </c>
      <c r="AJ155" s="22">
        <v>0</v>
      </c>
      <c r="AK155" s="22">
        <v>0</v>
      </c>
      <c r="AL155" s="22">
        <v>0</v>
      </c>
      <c r="AM155" s="22">
        <v>0</v>
      </c>
      <c r="AN155" s="22">
        <v>0</v>
      </c>
      <c r="AO155" s="22">
        <v>0</v>
      </c>
      <c r="AP155" s="22">
        <v>0</v>
      </c>
      <c r="AQ155" s="22">
        <v>0</v>
      </c>
      <c r="AR155" s="22">
        <v>0</v>
      </c>
      <c r="AS155" s="22">
        <v>0</v>
      </c>
      <c r="AT155" s="22">
        <v>0</v>
      </c>
      <c r="AU155" s="19">
        <f t="shared" si="4"/>
        <v>8250</v>
      </c>
      <c r="AV155" s="22">
        <f>23263.33+1087</f>
        <v>24350.33</v>
      </c>
      <c r="AW155" s="29" t="s">
        <v>54</v>
      </c>
      <c r="AX155" s="25">
        <v>45789</v>
      </c>
      <c r="AY155" s="15"/>
      <c r="AZ155" s="26"/>
      <c r="BA155" s="27">
        <f t="shared" si="8"/>
        <v>-1086.996666666666</v>
      </c>
      <c r="BB155" s="14"/>
      <c r="BC155" s="28"/>
    </row>
    <row r="156" spans="1:55" ht="28.8" x14ac:dyDescent="0.4">
      <c r="A156" s="15">
        <v>155</v>
      </c>
      <c r="B156" s="16">
        <v>29135</v>
      </c>
      <c r="C156" s="17" t="s">
        <v>286</v>
      </c>
      <c r="D156" s="16" t="s">
        <v>295</v>
      </c>
      <c r="E156" s="16" t="s">
        <v>296</v>
      </c>
      <c r="F156" s="16">
        <v>30</v>
      </c>
      <c r="G156" s="16">
        <v>30</v>
      </c>
      <c r="H156" s="18">
        <f t="shared" si="7"/>
        <v>0</v>
      </c>
      <c r="I156" s="19">
        <f t="shared" si="1"/>
        <v>0</v>
      </c>
      <c r="J156" s="16">
        <v>0</v>
      </c>
      <c r="K156" s="20">
        <v>0</v>
      </c>
      <c r="L156" s="21"/>
      <c r="M156" s="21"/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22">
        <v>24000</v>
      </c>
      <c r="T156" s="19">
        <f t="shared" si="2"/>
        <v>0</v>
      </c>
      <c r="U156" s="19">
        <f t="shared" si="3"/>
        <v>24000</v>
      </c>
      <c r="V156" s="22">
        <v>24000</v>
      </c>
      <c r="W156" s="31">
        <v>0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525</v>
      </c>
      <c r="AD156" s="22">
        <v>0</v>
      </c>
      <c r="AE156" s="22">
        <v>0</v>
      </c>
      <c r="AF156" s="22">
        <v>4000</v>
      </c>
      <c r="AG156" s="22">
        <v>0</v>
      </c>
      <c r="AH156" s="22">
        <v>0</v>
      </c>
      <c r="AI156" s="22">
        <v>0</v>
      </c>
      <c r="AJ156" s="22">
        <v>0</v>
      </c>
      <c r="AK156" s="22">
        <v>0</v>
      </c>
      <c r="AL156" s="22">
        <v>0</v>
      </c>
      <c r="AM156" s="22">
        <v>0</v>
      </c>
      <c r="AN156" s="22">
        <v>0</v>
      </c>
      <c r="AO156" s="22">
        <v>0</v>
      </c>
      <c r="AP156" s="22">
        <v>0</v>
      </c>
      <c r="AQ156" s="22">
        <v>0</v>
      </c>
      <c r="AR156" s="22">
        <v>0</v>
      </c>
      <c r="AS156" s="22">
        <v>0</v>
      </c>
      <c r="AT156" s="22">
        <v>0</v>
      </c>
      <c r="AU156" s="19">
        <f t="shared" si="4"/>
        <v>4525</v>
      </c>
      <c r="AV156" s="22">
        <v>19475</v>
      </c>
      <c r="AW156" s="24" t="s">
        <v>54</v>
      </c>
      <c r="AX156" s="25">
        <v>45790</v>
      </c>
      <c r="AY156" s="15"/>
      <c r="AZ156" s="26"/>
      <c r="BA156" s="27">
        <f t="shared" si="8"/>
        <v>0</v>
      </c>
      <c r="BB156" s="14"/>
      <c r="BC156" s="28"/>
    </row>
    <row r="157" spans="1:55" ht="28.8" x14ac:dyDescent="0.4">
      <c r="A157" s="15">
        <v>156</v>
      </c>
      <c r="B157" s="16">
        <v>32138</v>
      </c>
      <c r="C157" s="17" t="s">
        <v>286</v>
      </c>
      <c r="D157" s="16" t="s">
        <v>286</v>
      </c>
      <c r="E157" s="16" t="s">
        <v>297</v>
      </c>
      <c r="F157" s="16">
        <v>30</v>
      </c>
      <c r="G157" s="16">
        <v>8</v>
      </c>
      <c r="H157" s="18">
        <f t="shared" si="7"/>
        <v>22</v>
      </c>
      <c r="I157" s="19">
        <f t="shared" si="1"/>
        <v>20533.333333333336</v>
      </c>
      <c r="J157" s="16">
        <v>0</v>
      </c>
      <c r="K157" s="20">
        <v>0</v>
      </c>
      <c r="L157" s="21"/>
      <c r="M157" s="21"/>
      <c r="N157" s="16">
        <v>0</v>
      </c>
      <c r="O157" s="16">
        <v>0</v>
      </c>
      <c r="P157" s="16">
        <v>0</v>
      </c>
      <c r="Q157" s="16">
        <v>0</v>
      </c>
      <c r="R157" s="16">
        <v>22</v>
      </c>
      <c r="S157" s="22">
        <v>28000</v>
      </c>
      <c r="T157" s="19">
        <f t="shared" si="2"/>
        <v>0</v>
      </c>
      <c r="U157" s="19">
        <f t="shared" si="3"/>
        <v>7467</v>
      </c>
      <c r="V157" s="22">
        <v>7467</v>
      </c>
      <c r="W157" s="31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  <c r="AG157" s="22">
        <v>0</v>
      </c>
      <c r="AH157" s="22">
        <v>0</v>
      </c>
      <c r="AI157" s="22">
        <v>0</v>
      </c>
      <c r="AJ157" s="22">
        <v>0</v>
      </c>
      <c r="AK157" s="22">
        <v>0</v>
      </c>
      <c r="AL157" s="22">
        <v>0</v>
      </c>
      <c r="AM157" s="22">
        <v>0</v>
      </c>
      <c r="AN157" s="22">
        <v>0</v>
      </c>
      <c r="AO157" s="22">
        <v>0</v>
      </c>
      <c r="AP157" s="22">
        <v>0</v>
      </c>
      <c r="AQ157" s="22">
        <v>0</v>
      </c>
      <c r="AR157" s="22">
        <v>0</v>
      </c>
      <c r="AS157" s="22">
        <v>0</v>
      </c>
      <c r="AT157" s="22">
        <v>0</v>
      </c>
      <c r="AU157" s="19">
        <f t="shared" si="4"/>
        <v>0</v>
      </c>
      <c r="AV157" s="22">
        <v>7466.67</v>
      </c>
      <c r="AW157" s="24" t="s">
        <v>54</v>
      </c>
      <c r="AX157" s="25">
        <v>45789</v>
      </c>
      <c r="AY157" s="15"/>
      <c r="AZ157" s="26"/>
      <c r="BA157" s="27">
        <f t="shared" si="8"/>
        <v>-3.333333333102928E-3</v>
      </c>
      <c r="BB157" s="14"/>
      <c r="BC157" s="28"/>
    </row>
    <row r="158" spans="1:55" ht="21" x14ac:dyDescent="0.4">
      <c r="A158" s="15">
        <v>157</v>
      </c>
      <c r="B158" s="16">
        <v>14074</v>
      </c>
      <c r="C158" s="17" t="s">
        <v>286</v>
      </c>
      <c r="D158" s="16" t="s">
        <v>286</v>
      </c>
      <c r="E158" s="16" t="s">
        <v>298</v>
      </c>
      <c r="F158" s="16">
        <v>30</v>
      </c>
      <c r="G158" s="16">
        <v>30</v>
      </c>
      <c r="H158" s="18">
        <f t="shared" si="7"/>
        <v>0</v>
      </c>
      <c r="I158" s="19">
        <f t="shared" si="1"/>
        <v>0</v>
      </c>
      <c r="J158" s="16">
        <v>0</v>
      </c>
      <c r="K158" s="20">
        <v>0</v>
      </c>
      <c r="L158" s="21"/>
      <c r="M158" s="21"/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22">
        <v>28000</v>
      </c>
      <c r="T158" s="19">
        <f t="shared" si="2"/>
        <v>0</v>
      </c>
      <c r="U158" s="19">
        <f t="shared" si="3"/>
        <v>28000</v>
      </c>
      <c r="V158" s="22">
        <v>28000</v>
      </c>
      <c r="W158" s="31">
        <v>0</v>
      </c>
      <c r="X158" s="22">
        <v>0</v>
      </c>
      <c r="Y158" s="22">
        <v>0</v>
      </c>
      <c r="Z158" s="22">
        <v>0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22">
        <v>0</v>
      </c>
      <c r="AG158" s="22">
        <v>0</v>
      </c>
      <c r="AH158" s="22">
        <v>0</v>
      </c>
      <c r="AI158" s="22">
        <v>0</v>
      </c>
      <c r="AJ158" s="22">
        <v>0</v>
      </c>
      <c r="AK158" s="22">
        <v>0</v>
      </c>
      <c r="AL158" s="22">
        <v>0</v>
      </c>
      <c r="AM158" s="22">
        <v>0</v>
      </c>
      <c r="AN158" s="22">
        <v>0</v>
      </c>
      <c r="AO158" s="22">
        <v>0</v>
      </c>
      <c r="AP158" s="22">
        <v>0</v>
      </c>
      <c r="AQ158" s="22">
        <v>0</v>
      </c>
      <c r="AR158" s="22">
        <v>0</v>
      </c>
      <c r="AS158" s="22">
        <v>0</v>
      </c>
      <c r="AT158" s="22">
        <v>0</v>
      </c>
      <c r="AU158" s="19">
        <f t="shared" si="4"/>
        <v>0</v>
      </c>
      <c r="AV158" s="22">
        <v>28000</v>
      </c>
      <c r="AW158" s="24" t="s">
        <v>54</v>
      </c>
      <c r="AX158" s="25">
        <v>45790</v>
      </c>
      <c r="AY158" s="15"/>
      <c r="AZ158" s="26"/>
      <c r="BA158" s="27">
        <f t="shared" si="8"/>
        <v>0</v>
      </c>
      <c r="BB158" s="14"/>
      <c r="BC158" s="28"/>
    </row>
    <row r="159" spans="1:55" ht="21" x14ac:dyDescent="0.4">
      <c r="A159" s="15">
        <v>158</v>
      </c>
      <c r="B159" s="16">
        <v>33036</v>
      </c>
      <c r="C159" s="17" t="s">
        <v>286</v>
      </c>
      <c r="D159" s="16" t="s">
        <v>286</v>
      </c>
      <c r="E159" s="16" t="s">
        <v>299</v>
      </c>
      <c r="F159" s="16">
        <v>30</v>
      </c>
      <c r="G159" s="16">
        <v>29</v>
      </c>
      <c r="H159" s="18">
        <f t="shared" si="7"/>
        <v>1</v>
      </c>
      <c r="I159" s="19">
        <f t="shared" si="1"/>
        <v>933.33333333333337</v>
      </c>
      <c r="J159" s="16">
        <v>0</v>
      </c>
      <c r="K159" s="20">
        <v>0</v>
      </c>
      <c r="L159" s="21"/>
      <c r="M159" s="21"/>
      <c r="N159" s="16">
        <v>0</v>
      </c>
      <c r="O159" s="16">
        <v>0</v>
      </c>
      <c r="P159" s="16">
        <v>1</v>
      </c>
      <c r="Q159" s="16">
        <v>0</v>
      </c>
      <c r="R159" s="16">
        <v>0</v>
      </c>
      <c r="S159" s="22">
        <v>28000</v>
      </c>
      <c r="T159" s="19">
        <f t="shared" si="2"/>
        <v>0</v>
      </c>
      <c r="U159" s="19">
        <f t="shared" si="3"/>
        <v>27067</v>
      </c>
      <c r="V159" s="22">
        <v>27067</v>
      </c>
      <c r="W159" s="31">
        <v>0</v>
      </c>
      <c r="X159" s="22">
        <v>0</v>
      </c>
      <c r="Y159" s="22">
        <v>0</v>
      </c>
      <c r="Z159" s="22">
        <v>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>
        <v>5000</v>
      </c>
      <c r="AG159" s="22">
        <v>0</v>
      </c>
      <c r="AH159" s="22">
        <v>0</v>
      </c>
      <c r="AI159" s="22">
        <v>0</v>
      </c>
      <c r="AJ159" s="22">
        <v>0</v>
      </c>
      <c r="AK159" s="22">
        <v>0</v>
      </c>
      <c r="AL159" s="22">
        <v>0</v>
      </c>
      <c r="AM159" s="22">
        <v>0</v>
      </c>
      <c r="AN159" s="22">
        <v>0</v>
      </c>
      <c r="AO159" s="22">
        <v>0</v>
      </c>
      <c r="AP159" s="22">
        <v>0</v>
      </c>
      <c r="AQ159" s="22">
        <v>0</v>
      </c>
      <c r="AR159" s="22">
        <v>0</v>
      </c>
      <c r="AS159" s="22">
        <v>0</v>
      </c>
      <c r="AT159" s="22">
        <v>0</v>
      </c>
      <c r="AU159" s="19">
        <f t="shared" si="4"/>
        <v>5000</v>
      </c>
      <c r="AV159" s="22">
        <f>21334.67+732</f>
        <v>22066.67</v>
      </c>
      <c r="AW159" s="24" t="s">
        <v>54</v>
      </c>
      <c r="AX159" s="25">
        <v>45789</v>
      </c>
      <c r="AY159" s="15"/>
      <c r="AZ159" s="26"/>
      <c r="BA159" s="27">
        <f t="shared" si="8"/>
        <v>-3.3333333303744439E-3</v>
      </c>
      <c r="BB159" s="14"/>
      <c r="BC159" s="28"/>
    </row>
    <row r="160" spans="1:55" ht="42.6" x14ac:dyDescent="0.4">
      <c r="A160" s="15">
        <v>159</v>
      </c>
      <c r="B160" s="16">
        <v>80440</v>
      </c>
      <c r="C160" s="17" t="s">
        <v>286</v>
      </c>
      <c r="D160" s="16" t="s">
        <v>289</v>
      </c>
      <c r="E160" s="16" t="s">
        <v>300</v>
      </c>
      <c r="F160" s="16">
        <v>30</v>
      </c>
      <c r="G160" s="16">
        <v>30</v>
      </c>
      <c r="H160" s="18">
        <f t="shared" si="7"/>
        <v>0</v>
      </c>
      <c r="I160" s="19">
        <f t="shared" si="1"/>
        <v>0</v>
      </c>
      <c r="J160" s="16">
        <v>1</v>
      </c>
      <c r="K160" s="20">
        <v>0</v>
      </c>
      <c r="L160" s="21"/>
      <c r="M160" s="21"/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22">
        <v>28000</v>
      </c>
      <c r="T160" s="19">
        <f t="shared" si="2"/>
        <v>0</v>
      </c>
      <c r="U160" s="19">
        <f t="shared" si="3"/>
        <v>28000</v>
      </c>
      <c r="V160" s="22">
        <v>27067</v>
      </c>
      <c r="W160" s="31">
        <v>933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  <c r="AH160" s="22">
        <v>0</v>
      </c>
      <c r="AI160" s="22">
        <v>0</v>
      </c>
      <c r="AJ160" s="22">
        <v>0</v>
      </c>
      <c r="AK160" s="22">
        <v>0</v>
      </c>
      <c r="AL160" s="22">
        <v>0</v>
      </c>
      <c r="AM160" s="22">
        <v>0</v>
      </c>
      <c r="AN160" s="22">
        <v>0</v>
      </c>
      <c r="AO160" s="22">
        <v>0</v>
      </c>
      <c r="AP160" s="22">
        <v>0</v>
      </c>
      <c r="AQ160" s="22">
        <v>0</v>
      </c>
      <c r="AR160" s="22">
        <v>0</v>
      </c>
      <c r="AS160" s="22">
        <v>0</v>
      </c>
      <c r="AT160" s="22">
        <v>0</v>
      </c>
      <c r="AU160" s="19">
        <f t="shared" si="4"/>
        <v>0</v>
      </c>
      <c r="AV160" s="22">
        <v>28000</v>
      </c>
      <c r="AW160" s="24" t="s">
        <v>54</v>
      </c>
      <c r="AX160" s="25">
        <v>45789</v>
      </c>
      <c r="AY160" s="15"/>
      <c r="AZ160" s="26"/>
      <c r="BA160" s="27">
        <f t="shared" si="8"/>
        <v>0</v>
      </c>
      <c r="BB160" s="14"/>
      <c r="BC160" s="28"/>
    </row>
    <row r="161" spans="1:55" ht="28.8" x14ac:dyDescent="0.4">
      <c r="A161" s="15">
        <v>160</v>
      </c>
      <c r="B161" s="16">
        <v>80491</v>
      </c>
      <c r="C161" s="17" t="s">
        <v>286</v>
      </c>
      <c r="D161" s="16" t="s">
        <v>286</v>
      </c>
      <c r="E161" s="16" t="s">
        <v>301</v>
      </c>
      <c r="F161" s="16">
        <v>30</v>
      </c>
      <c r="G161" s="16">
        <v>30</v>
      </c>
      <c r="H161" s="18">
        <f t="shared" si="7"/>
        <v>0</v>
      </c>
      <c r="I161" s="19">
        <f t="shared" si="1"/>
        <v>0</v>
      </c>
      <c r="J161" s="16">
        <v>0</v>
      </c>
      <c r="K161" s="20">
        <v>0</v>
      </c>
      <c r="L161" s="21"/>
      <c r="M161" s="21"/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22">
        <v>28000</v>
      </c>
      <c r="T161" s="19">
        <f t="shared" si="2"/>
        <v>0</v>
      </c>
      <c r="U161" s="19">
        <f t="shared" si="3"/>
        <v>28000</v>
      </c>
      <c r="V161" s="22">
        <v>28000</v>
      </c>
      <c r="W161" s="31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3000</v>
      </c>
      <c r="AG161" s="22">
        <v>0</v>
      </c>
      <c r="AH161" s="22">
        <v>0</v>
      </c>
      <c r="AI161" s="22">
        <v>0</v>
      </c>
      <c r="AJ161" s="22">
        <v>0</v>
      </c>
      <c r="AK161" s="22">
        <v>0</v>
      </c>
      <c r="AL161" s="22">
        <v>0</v>
      </c>
      <c r="AM161" s="22">
        <v>0</v>
      </c>
      <c r="AN161" s="22">
        <v>0</v>
      </c>
      <c r="AO161" s="22">
        <v>0</v>
      </c>
      <c r="AP161" s="22">
        <v>0</v>
      </c>
      <c r="AQ161" s="22">
        <v>0</v>
      </c>
      <c r="AR161" s="22">
        <v>0</v>
      </c>
      <c r="AS161" s="22">
        <v>0</v>
      </c>
      <c r="AT161" s="22">
        <v>0</v>
      </c>
      <c r="AU161" s="19">
        <f t="shared" si="4"/>
        <v>3000</v>
      </c>
      <c r="AV161" s="22">
        <v>25000</v>
      </c>
      <c r="AW161" s="24" t="s">
        <v>54</v>
      </c>
      <c r="AX161" s="25">
        <v>45789</v>
      </c>
      <c r="AY161" s="15"/>
      <c r="AZ161" s="26"/>
      <c r="BA161" s="27">
        <f t="shared" si="8"/>
        <v>0</v>
      </c>
      <c r="BB161" s="14"/>
      <c r="BC161" s="28"/>
    </row>
    <row r="162" spans="1:55" ht="28.8" x14ac:dyDescent="0.4">
      <c r="A162" s="15">
        <v>161</v>
      </c>
      <c r="B162" s="16">
        <v>80602</v>
      </c>
      <c r="C162" s="17" t="s">
        <v>286</v>
      </c>
      <c r="D162" s="16" t="s">
        <v>289</v>
      </c>
      <c r="E162" s="16" t="s">
        <v>302</v>
      </c>
      <c r="F162" s="16">
        <v>30</v>
      </c>
      <c r="G162" s="16">
        <v>28</v>
      </c>
      <c r="H162" s="18">
        <f t="shared" si="7"/>
        <v>2</v>
      </c>
      <c r="I162" s="19">
        <f t="shared" si="1"/>
        <v>1866.6666666666667</v>
      </c>
      <c r="J162" s="16">
        <v>0</v>
      </c>
      <c r="K162" s="20">
        <v>0</v>
      </c>
      <c r="L162" s="21"/>
      <c r="M162" s="21"/>
      <c r="N162" s="16">
        <v>0</v>
      </c>
      <c r="O162" s="16">
        <v>0</v>
      </c>
      <c r="P162" s="16">
        <v>0</v>
      </c>
      <c r="Q162" s="16">
        <v>0</v>
      </c>
      <c r="R162" s="16">
        <v>2</v>
      </c>
      <c r="S162" s="22">
        <v>28000</v>
      </c>
      <c r="T162" s="19">
        <f t="shared" si="2"/>
        <v>0</v>
      </c>
      <c r="U162" s="19">
        <f t="shared" si="3"/>
        <v>26133</v>
      </c>
      <c r="V162" s="22">
        <v>26133</v>
      </c>
      <c r="W162" s="31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5000</v>
      </c>
      <c r="AG162" s="22">
        <v>0</v>
      </c>
      <c r="AH162" s="22">
        <v>0</v>
      </c>
      <c r="AI162" s="22">
        <v>0</v>
      </c>
      <c r="AJ162" s="22">
        <v>0</v>
      </c>
      <c r="AK162" s="22">
        <v>0</v>
      </c>
      <c r="AL162" s="22">
        <v>0</v>
      </c>
      <c r="AM162" s="22">
        <v>0</v>
      </c>
      <c r="AN162" s="22">
        <v>0</v>
      </c>
      <c r="AO162" s="22">
        <v>0</v>
      </c>
      <c r="AP162" s="22">
        <v>0</v>
      </c>
      <c r="AQ162" s="22">
        <v>0</v>
      </c>
      <c r="AR162" s="22">
        <v>0</v>
      </c>
      <c r="AS162" s="22">
        <v>0</v>
      </c>
      <c r="AT162" s="22">
        <v>0</v>
      </c>
      <c r="AU162" s="19">
        <f t="shared" si="4"/>
        <v>5000</v>
      </c>
      <c r="AV162" s="22">
        <v>21133.33</v>
      </c>
      <c r="AW162" s="24" t="s">
        <v>54</v>
      </c>
      <c r="AX162" s="25">
        <v>45789</v>
      </c>
      <c r="AY162" s="15"/>
      <c r="AZ162" s="26"/>
      <c r="BA162" s="27">
        <f t="shared" si="8"/>
        <v>3.3333333340124227E-3</v>
      </c>
      <c r="BB162" s="14"/>
      <c r="BC162" s="28"/>
    </row>
    <row r="163" spans="1:55" ht="28.8" x14ac:dyDescent="0.4">
      <c r="A163" s="15">
        <v>162</v>
      </c>
      <c r="B163" s="16">
        <v>80628</v>
      </c>
      <c r="C163" s="17" t="s">
        <v>286</v>
      </c>
      <c r="D163" s="16" t="s">
        <v>286</v>
      </c>
      <c r="E163" s="16" t="s">
        <v>303</v>
      </c>
      <c r="F163" s="16">
        <v>30</v>
      </c>
      <c r="G163" s="16">
        <v>29</v>
      </c>
      <c r="H163" s="18">
        <f t="shared" si="7"/>
        <v>1</v>
      </c>
      <c r="I163" s="19">
        <f t="shared" si="1"/>
        <v>933.33333333333337</v>
      </c>
      <c r="J163" s="16">
        <v>9</v>
      </c>
      <c r="K163" s="20">
        <v>4</v>
      </c>
      <c r="L163" s="21"/>
      <c r="M163" s="21"/>
      <c r="N163" s="16">
        <v>0</v>
      </c>
      <c r="O163" s="16">
        <v>0</v>
      </c>
      <c r="P163" s="16">
        <v>0</v>
      </c>
      <c r="Q163" s="16">
        <v>0</v>
      </c>
      <c r="R163" s="16">
        <v>1</v>
      </c>
      <c r="S163" s="22">
        <v>28000</v>
      </c>
      <c r="T163" s="19">
        <f t="shared" si="2"/>
        <v>3733.3333333333335</v>
      </c>
      <c r="U163" s="19">
        <f t="shared" si="3"/>
        <v>23334</v>
      </c>
      <c r="V163" s="22">
        <v>18667</v>
      </c>
      <c r="W163" s="31">
        <v>4667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>
        <v>5000</v>
      </c>
      <c r="AG163" s="22">
        <v>0</v>
      </c>
      <c r="AH163" s="22">
        <v>0</v>
      </c>
      <c r="AI163" s="22">
        <v>0</v>
      </c>
      <c r="AJ163" s="22">
        <v>0</v>
      </c>
      <c r="AK163" s="22">
        <v>0</v>
      </c>
      <c r="AL163" s="22">
        <v>0</v>
      </c>
      <c r="AM163" s="22">
        <v>0</v>
      </c>
      <c r="AN163" s="22">
        <v>0</v>
      </c>
      <c r="AO163" s="22">
        <v>0</v>
      </c>
      <c r="AP163" s="22">
        <v>0</v>
      </c>
      <c r="AQ163" s="22">
        <v>0</v>
      </c>
      <c r="AR163" s="22">
        <v>0</v>
      </c>
      <c r="AS163" s="22">
        <v>0</v>
      </c>
      <c r="AT163" s="22">
        <v>0</v>
      </c>
      <c r="AU163" s="19">
        <f t="shared" si="4"/>
        <v>5000</v>
      </c>
      <c r="AV163" s="22">
        <v>18333.330000000002</v>
      </c>
      <c r="AW163" s="24" t="s">
        <v>54</v>
      </c>
      <c r="AX163" s="25">
        <v>45790</v>
      </c>
      <c r="AY163" s="15"/>
      <c r="AZ163" s="26"/>
      <c r="BA163" s="27">
        <f t="shared" si="8"/>
        <v>3.3333333340124227E-3</v>
      </c>
      <c r="BB163" s="14"/>
      <c r="BC163" s="28"/>
    </row>
    <row r="164" spans="1:55" ht="28.8" x14ac:dyDescent="0.4">
      <c r="A164" s="15">
        <v>163</v>
      </c>
      <c r="B164" s="16">
        <v>80650</v>
      </c>
      <c r="C164" s="17" t="s">
        <v>286</v>
      </c>
      <c r="D164" s="16" t="s">
        <v>289</v>
      </c>
      <c r="E164" s="16" t="s">
        <v>304</v>
      </c>
      <c r="F164" s="16">
        <v>30</v>
      </c>
      <c r="G164" s="16">
        <v>11</v>
      </c>
      <c r="H164" s="18">
        <f t="shared" si="7"/>
        <v>19</v>
      </c>
      <c r="I164" s="19">
        <f t="shared" si="1"/>
        <v>17733.333333333336</v>
      </c>
      <c r="J164" s="16">
        <v>0</v>
      </c>
      <c r="K164" s="20">
        <v>0</v>
      </c>
      <c r="L164" s="21"/>
      <c r="M164" s="21"/>
      <c r="N164" s="16">
        <v>0</v>
      </c>
      <c r="O164" s="16">
        <v>0</v>
      </c>
      <c r="P164" s="16">
        <v>0</v>
      </c>
      <c r="Q164" s="16">
        <v>0</v>
      </c>
      <c r="R164" s="16">
        <v>19</v>
      </c>
      <c r="S164" s="22">
        <v>28000</v>
      </c>
      <c r="T164" s="19">
        <f t="shared" si="2"/>
        <v>0</v>
      </c>
      <c r="U164" s="19">
        <f t="shared" si="3"/>
        <v>10267</v>
      </c>
      <c r="V164" s="22">
        <v>10267</v>
      </c>
      <c r="W164" s="31">
        <v>0</v>
      </c>
      <c r="X164" s="22"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22">
        <v>0</v>
      </c>
      <c r="AG164" s="22">
        <v>0</v>
      </c>
      <c r="AH164" s="22">
        <v>0</v>
      </c>
      <c r="AI164" s="22">
        <v>0</v>
      </c>
      <c r="AJ164" s="22">
        <v>0</v>
      </c>
      <c r="AK164" s="22">
        <v>0</v>
      </c>
      <c r="AL164" s="22">
        <v>0</v>
      </c>
      <c r="AM164" s="22">
        <v>0</v>
      </c>
      <c r="AN164" s="22">
        <v>0</v>
      </c>
      <c r="AO164" s="22">
        <v>0</v>
      </c>
      <c r="AP164" s="22">
        <v>0</v>
      </c>
      <c r="AQ164" s="22">
        <v>0</v>
      </c>
      <c r="AR164" s="22">
        <v>0</v>
      </c>
      <c r="AS164" s="22">
        <v>0</v>
      </c>
      <c r="AT164" s="22">
        <v>0</v>
      </c>
      <c r="AU164" s="19">
        <f t="shared" si="4"/>
        <v>0</v>
      </c>
      <c r="AV164" s="22">
        <v>10266.67</v>
      </c>
      <c r="AW164" s="24" t="s">
        <v>54</v>
      </c>
      <c r="AX164" s="25">
        <v>45792</v>
      </c>
      <c r="AY164" s="15"/>
      <c r="AZ164" s="26"/>
      <c r="BA164" s="27">
        <f t="shared" si="8"/>
        <v>-3.3333333321934333E-3</v>
      </c>
      <c r="BB164" s="14"/>
      <c r="BC164" s="28"/>
    </row>
    <row r="165" spans="1:55" ht="21" x14ac:dyDescent="0.4">
      <c r="A165" s="15">
        <v>164</v>
      </c>
      <c r="B165" s="16">
        <v>80654</v>
      </c>
      <c r="C165" s="17" t="s">
        <v>286</v>
      </c>
      <c r="D165" s="16" t="s">
        <v>286</v>
      </c>
      <c r="E165" s="16" t="s">
        <v>305</v>
      </c>
      <c r="F165" s="16">
        <v>30</v>
      </c>
      <c r="G165" s="16">
        <v>29</v>
      </c>
      <c r="H165" s="18">
        <f t="shared" si="7"/>
        <v>1</v>
      </c>
      <c r="I165" s="19">
        <f t="shared" si="1"/>
        <v>933.33333333333337</v>
      </c>
      <c r="J165" s="16">
        <v>18</v>
      </c>
      <c r="K165" s="20">
        <v>9</v>
      </c>
      <c r="L165" s="21"/>
      <c r="M165" s="21"/>
      <c r="N165" s="16">
        <v>0</v>
      </c>
      <c r="O165" s="16">
        <v>0</v>
      </c>
      <c r="P165" s="16">
        <v>0</v>
      </c>
      <c r="Q165" s="16">
        <v>0</v>
      </c>
      <c r="R165" s="16">
        <v>1</v>
      </c>
      <c r="S165" s="22">
        <v>28000</v>
      </c>
      <c r="T165" s="19">
        <f t="shared" si="2"/>
        <v>8400</v>
      </c>
      <c r="U165" s="19">
        <f t="shared" si="3"/>
        <v>18667</v>
      </c>
      <c r="V165" s="22">
        <v>10267</v>
      </c>
      <c r="W165" s="31">
        <v>8400</v>
      </c>
      <c r="X165" s="22">
        <v>0</v>
      </c>
      <c r="Y165" s="22">
        <v>0</v>
      </c>
      <c r="Z165" s="22">
        <v>0</v>
      </c>
      <c r="AA165" s="22">
        <v>0</v>
      </c>
      <c r="AB165" s="22">
        <v>0</v>
      </c>
      <c r="AC165" s="22">
        <v>2203</v>
      </c>
      <c r="AD165" s="22">
        <v>0</v>
      </c>
      <c r="AE165" s="22">
        <v>0</v>
      </c>
      <c r="AF165" s="22">
        <v>0</v>
      </c>
      <c r="AG165" s="22">
        <v>0</v>
      </c>
      <c r="AH165" s="22">
        <v>0</v>
      </c>
      <c r="AI165" s="22">
        <v>0</v>
      </c>
      <c r="AJ165" s="22">
        <v>0</v>
      </c>
      <c r="AK165" s="22">
        <v>0</v>
      </c>
      <c r="AL165" s="22">
        <v>0</v>
      </c>
      <c r="AM165" s="22">
        <v>0</v>
      </c>
      <c r="AN165" s="22">
        <v>0</v>
      </c>
      <c r="AO165" s="22">
        <v>0</v>
      </c>
      <c r="AP165" s="22">
        <v>0</v>
      </c>
      <c r="AQ165" s="22">
        <v>0</v>
      </c>
      <c r="AR165" s="22">
        <v>0</v>
      </c>
      <c r="AS165" s="22">
        <v>0</v>
      </c>
      <c r="AT165" s="22">
        <v>0</v>
      </c>
      <c r="AU165" s="19">
        <f t="shared" si="4"/>
        <v>2203</v>
      </c>
      <c r="AV165" s="22">
        <v>16463.669999999998</v>
      </c>
      <c r="AW165" s="24" t="s">
        <v>54</v>
      </c>
      <c r="AX165" s="25">
        <v>45790</v>
      </c>
      <c r="AY165" s="15"/>
      <c r="AZ165" s="26"/>
      <c r="BA165" s="27">
        <f t="shared" si="8"/>
        <v>-3.3333333303744439E-3</v>
      </c>
      <c r="BB165" s="14"/>
      <c r="BC165" s="28"/>
    </row>
    <row r="166" spans="1:55" ht="42.6" x14ac:dyDescent="0.4">
      <c r="A166" s="15">
        <v>165</v>
      </c>
      <c r="B166" s="16">
        <v>80712</v>
      </c>
      <c r="C166" s="17" t="s">
        <v>286</v>
      </c>
      <c r="D166" s="16" t="s">
        <v>306</v>
      </c>
      <c r="E166" s="16" t="s">
        <v>307</v>
      </c>
      <c r="F166" s="16">
        <v>30</v>
      </c>
      <c r="G166" s="16">
        <v>30</v>
      </c>
      <c r="H166" s="18">
        <f t="shared" si="7"/>
        <v>0</v>
      </c>
      <c r="I166" s="19">
        <f t="shared" si="1"/>
        <v>0</v>
      </c>
      <c r="J166" s="16">
        <v>0</v>
      </c>
      <c r="K166" s="20">
        <v>0</v>
      </c>
      <c r="L166" s="21"/>
      <c r="M166" s="21"/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22">
        <v>25000</v>
      </c>
      <c r="T166" s="19">
        <f t="shared" si="2"/>
        <v>0</v>
      </c>
      <c r="U166" s="19">
        <f t="shared" si="3"/>
        <v>25000</v>
      </c>
      <c r="V166" s="22">
        <v>25000</v>
      </c>
      <c r="W166" s="31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0</v>
      </c>
      <c r="AH166" s="22">
        <v>0</v>
      </c>
      <c r="AI166" s="22">
        <v>0</v>
      </c>
      <c r="AJ166" s="22">
        <v>0</v>
      </c>
      <c r="AK166" s="22">
        <v>0</v>
      </c>
      <c r="AL166" s="22">
        <v>0</v>
      </c>
      <c r="AM166" s="22">
        <v>0</v>
      </c>
      <c r="AN166" s="22">
        <v>0</v>
      </c>
      <c r="AO166" s="22">
        <v>0</v>
      </c>
      <c r="AP166" s="22">
        <v>0</v>
      </c>
      <c r="AQ166" s="22">
        <v>0</v>
      </c>
      <c r="AR166" s="22">
        <v>0</v>
      </c>
      <c r="AS166" s="22">
        <v>0</v>
      </c>
      <c r="AT166" s="22">
        <v>0</v>
      </c>
      <c r="AU166" s="19">
        <f t="shared" si="4"/>
        <v>0</v>
      </c>
      <c r="AV166" s="22">
        <v>25000</v>
      </c>
      <c r="AW166" s="24" t="s">
        <v>54</v>
      </c>
      <c r="AX166" s="25">
        <v>45790</v>
      </c>
      <c r="AY166" s="15"/>
      <c r="AZ166" s="26"/>
      <c r="BA166" s="27">
        <f t="shared" si="8"/>
        <v>0</v>
      </c>
      <c r="BB166" s="14"/>
      <c r="BC166" s="28"/>
    </row>
    <row r="167" spans="1:55" ht="21" x14ac:dyDescent="0.4">
      <c r="A167" s="15">
        <v>166</v>
      </c>
      <c r="B167" s="16">
        <v>80752</v>
      </c>
      <c r="C167" s="17" t="s">
        <v>286</v>
      </c>
      <c r="D167" s="16" t="s">
        <v>286</v>
      </c>
      <c r="E167" s="16" t="s">
        <v>308</v>
      </c>
      <c r="F167" s="16">
        <v>30</v>
      </c>
      <c r="G167" s="16">
        <v>26</v>
      </c>
      <c r="H167" s="18">
        <f t="shared" si="7"/>
        <v>4</v>
      </c>
      <c r="I167" s="19">
        <f t="shared" si="1"/>
        <v>3733.3333333333335</v>
      </c>
      <c r="J167" s="16">
        <v>1</v>
      </c>
      <c r="K167" s="20">
        <v>0</v>
      </c>
      <c r="L167" s="21"/>
      <c r="M167" s="21"/>
      <c r="N167" s="16">
        <v>0</v>
      </c>
      <c r="O167" s="16">
        <v>0</v>
      </c>
      <c r="P167" s="16">
        <v>0</v>
      </c>
      <c r="Q167" s="16">
        <v>0</v>
      </c>
      <c r="R167" s="16">
        <v>4</v>
      </c>
      <c r="S167" s="22">
        <v>28000</v>
      </c>
      <c r="T167" s="19">
        <f t="shared" si="2"/>
        <v>0</v>
      </c>
      <c r="U167" s="19">
        <f t="shared" si="3"/>
        <v>24266</v>
      </c>
      <c r="V167" s="22">
        <v>23333</v>
      </c>
      <c r="W167" s="31">
        <v>933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  <c r="AH167" s="22">
        <v>0</v>
      </c>
      <c r="AI167" s="22">
        <v>0</v>
      </c>
      <c r="AJ167" s="22">
        <v>0</v>
      </c>
      <c r="AK167" s="22">
        <v>0</v>
      </c>
      <c r="AL167" s="22">
        <v>0</v>
      </c>
      <c r="AM167" s="22">
        <v>0</v>
      </c>
      <c r="AN167" s="22">
        <v>0</v>
      </c>
      <c r="AO167" s="22">
        <v>0</v>
      </c>
      <c r="AP167" s="22">
        <v>0</v>
      </c>
      <c r="AQ167" s="22">
        <v>0</v>
      </c>
      <c r="AR167" s="22">
        <v>0</v>
      </c>
      <c r="AS167" s="22">
        <v>0</v>
      </c>
      <c r="AT167" s="22">
        <v>0</v>
      </c>
      <c r="AU167" s="19">
        <f t="shared" si="4"/>
        <v>0</v>
      </c>
      <c r="AV167" s="22">
        <v>24266.67</v>
      </c>
      <c r="AW167" s="24" t="s">
        <v>54</v>
      </c>
      <c r="AX167" s="25">
        <v>45790</v>
      </c>
      <c r="AY167" s="15"/>
      <c r="AZ167" s="26"/>
      <c r="BA167" s="27">
        <f t="shared" si="8"/>
        <v>-3.3333333303744439E-3</v>
      </c>
      <c r="BB167" s="14"/>
      <c r="BC167" s="28"/>
    </row>
    <row r="168" spans="1:55" ht="42.6" x14ac:dyDescent="0.4">
      <c r="A168" s="15">
        <v>167</v>
      </c>
      <c r="B168" s="16">
        <v>80760</v>
      </c>
      <c r="C168" s="17" t="s">
        <v>286</v>
      </c>
      <c r="D168" s="16" t="s">
        <v>289</v>
      </c>
      <c r="E168" s="16" t="s">
        <v>309</v>
      </c>
      <c r="F168" s="16">
        <v>30</v>
      </c>
      <c r="G168" s="16">
        <v>20</v>
      </c>
      <c r="H168" s="18">
        <f t="shared" si="7"/>
        <v>10</v>
      </c>
      <c r="I168" s="19">
        <f t="shared" si="1"/>
        <v>8333.3333333333339</v>
      </c>
      <c r="J168" s="16">
        <v>4</v>
      </c>
      <c r="K168" s="20">
        <v>2</v>
      </c>
      <c r="L168" s="21"/>
      <c r="M168" s="21"/>
      <c r="N168" s="16">
        <v>0</v>
      </c>
      <c r="O168" s="16">
        <v>0</v>
      </c>
      <c r="P168" s="16">
        <v>0</v>
      </c>
      <c r="Q168" s="16">
        <v>0</v>
      </c>
      <c r="R168" s="16">
        <v>10</v>
      </c>
      <c r="S168" s="22">
        <v>25000</v>
      </c>
      <c r="T168" s="19">
        <f t="shared" si="2"/>
        <v>1666.6666666666667</v>
      </c>
      <c r="U168" s="19">
        <f t="shared" si="3"/>
        <v>15000</v>
      </c>
      <c r="V168" s="22">
        <v>13333</v>
      </c>
      <c r="W168" s="31">
        <v>1667</v>
      </c>
      <c r="X168" s="22">
        <v>0</v>
      </c>
      <c r="Y168" s="22">
        <v>0</v>
      </c>
      <c r="Z168" s="22">
        <v>0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  <c r="AF168" s="22">
        <v>0</v>
      </c>
      <c r="AG168" s="22">
        <v>0</v>
      </c>
      <c r="AH168" s="22">
        <v>0</v>
      </c>
      <c r="AI168" s="22">
        <v>0</v>
      </c>
      <c r="AJ168" s="22">
        <v>0</v>
      </c>
      <c r="AK168" s="22">
        <v>0</v>
      </c>
      <c r="AL168" s="22">
        <v>0</v>
      </c>
      <c r="AM168" s="22">
        <v>0</v>
      </c>
      <c r="AN168" s="22">
        <v>0</v>
      </c>
      <c r="AO168" s="22">
        <v>0</v>
      </c>
      <c r="AP168" s="22">
        <v>0</v>
      </c>
      <c r="AQ168" s="22">
        <v>0</v>
      </c>
      <c r="AR168" s="22">
        <v>0</v>
      </c>
      <c r="AS168" s="22">
        <v>0</v>
      </c>
      <c r="AT168" s="22">
        <v>0</v>
      </c>
      <c r="AU168" s="19">
        <f t="shared" si="4"/>
        <v>0</v>
      </c>
      <c r="AV168" s="22">
        <v>15000</v>
      </c>
      <c r="AW168" s="24" t="s">
        <v>54</v>
      </c>
      <c r="AX168" s="25">
        <v>45788</v>
      </c>
      <c r="AY168" s="15"/>
      <c r="AZ168" s="26"/>
      <c r="BA168" s="27">
        <f t="shared" si="8"/>
        <v>1.8189894035458565E-12</v>
      </c>
      <c r="BB168" s="14"/>
      <c r="BC168" s="28"/>
    </row>
    <row r="169" spans="1:55" ht="28.8" x14ac:dyDescent="0.4">
      <c r="A169" s="15">
        <v>168</v>
      </c>
      <c r="B169" s="16">
        <v>15012</v>
      </c>
      <c r="C169" s="17" t="s">
        <v>310</v>
      </c>
      <c r="D169" s="16" t="s">
        <v>311</v>
      </c>
      <c r="E169" s="16" t="s">
        <v>312</v>
      </c>
      <c r="F169" s="16">
        <v>30</v>
      </c>
      <c r="G169" s="16">
        <v>30</v>
      </c>
      <c r="H169" s="18">
        <f t="shared" si="7"/>
        <v>0</v>
      </c>
      <c r="I169" s="19">
        <f t="shared" si="1"/>
        <v>0</v>
      </c>
      <c r="J169" s="16">
        <v>0</v>
      </c>
      <c r="K169" s="20">
        <v>0</v>
      </c>
      <c r="L169" s="21"/>
      <c r="M169" s="21"/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22">
        <v>30000</v>
      </c>
      <c r="T169" s="19">
        <f t="shared" si="2"/>
        <v>0</v>
      </c>
      <c r="U169" s="19">
        <f t="shared" si="3"/>
        <v>30000</v>
      </c>
      <c r="V169" s="22">
        <v>30000</v>
      </c>
      <c r="W169" s="31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22">
        <v>4000</v>
      </c>
      <c r="AG169" s="22">
        <v>0</v>
      </c>
      <c r="AH169" s="22">
        <v>0</v>
      </c>
      <c r="AI169" s="22">
        <v>0</v>
      </c>
      <c r="AJ169" s="22">
        <v>0</v>
      </c>
      <c r="AK169" s="22">
        <v>0</v>
      </c>
      <c r="AL169" s="22">
        <v>0</v>
      </c>
      <c r="AM169" s="22">
        <v>0</v>
      </c>
      <c r="AN169" s="22">
        <v>0</v>
      </c>
      <c r="AO169" s="22">
        <v>0</v>
      </c>
      <c r="AP169" s="22">
        <v>0</v>
      </c>
      <c r="AQ169" s="22">
        <v>0</v>
      </c>
      <c r="AR169" s="22">
        <v>0</v>
      </c>
      <c r="AS169" s="22">
        <v>0</v>
      </c>
      <c r="AT169" s="22">
        <v>0</v>
      </c>
      <c r="AU169" s="19">
        <f t="shared" si="4"/>
        <v>4000</v>
      </c>
      <c r="AV169" s="22">
        <v>26000</v>
      </c>
      <c r="AW169" s="24" t="s">
        <v>54</v>
      </c>
      <c r="AX169" s="25">
        <v>45789</v>
      </c>
      <c r="AY169" s="15"/>
      <c r="AZ169" s="26"/>
      <c r="BA169" s="27">
        <f t="shared" si="8"/>
        <v>0</v>
      </c>
      <c r="BB169" s="14"/>
      <c r="BC169" s="28"/>
    </row>
    <row r="170" spans="1:55" ht="28.8" x14ac:dyDescent="0.4">
      <c r="A170" s="15">
        <v>169</v>
      </c>
      <c r="B170" s="16">
        <v>15013</v>
      </c>
      <c r="C170" s="17" t="s">
        <v>310</v>
      </c>
      <c r="D170" s="16" t="s">
        <v>313</v>
      </c>
      <c r="E170" s="16" t="s">
        <v>314</v>
      </c>
      <c r="F170" s="16">
        <v>30</v>
      </c>
      <c r="G170" s="16">
        <v>30</v>
      </c>
      <c r="H170" s="18">
        <f t="shared" si="7"/>
        <v>0</v>
      </c>
      <c r="I170" s="19">
        <f t="shared" si="1"/>
        <v>0</v>
      </c>
      <c r="J170" s="16">
        <v>0</v>
      </c>
      <c r="K170" s="20">
        <v>0</v>
      </c>
      <c r="L170" s="21"/>
      <c r="M170" s="21"/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22">
        <v>55000</v>
      </c>
      <c r="T170" s="19">
        <f t="shared" si="2"/>
        <v>0</v>
      </c>
      <c r="U170" s="19">
        <f t="shared" si="3"/>
        <v>55000</v>
      </c>
      <c r="V170" s="22">
        <v>55000</v>
      </c>
      <c r="W170" s="31">
        <v>0</v>
      </c>
      <c r="X170" s="22">
        <v>0</v>
      </c>
      <c r="Y170" s="22">
        <v>0</v>
      </c>
      <c r="Z170" s="22">
        <v>0</v>
      </c>
      <c r="AA170" s="22">
        <v>0</v>
      </c>
      <c r="AB170" s="22">
        <v>0</v>
      </c>
      <c r="AC170" s="22">
        <f>4980-525</f>
        <v>4455</v>
      </c>
      <c r="AD170" s="22">
        <v>0</v>
      </c>
      <c r="AE170" s="22">
        <v>0</v>
      </c>
      <c r="AF170" s="22">
        <v>10000</v>
      </c>
      <c r="AG170" s="22">
        <v>0</v>
      </c>
      <c r="AH170" s="22">
        <v>0</v>
      </c>
      <c r="AI170" s="22">
        <v>0</v>
      </c>
      <c r="AJ170" s="22">
        <v>0</v>
      </c>
      <c r="AK170" s="22">
        <v>0</v>
      </c>
      <c r="AL170" s="22">
        <v>0</v>
      </c>
      <c r="AM170" s="22">
        <v>0</v>
      </c>
      <c r="AN170" s="22">
        <v>0</v>
      </c>
      <c r="AO170" s="22">
        <v>0</v>
      </c>
      <c r="AP170" s="22">
        <v>0</v>
      </c>
      <c r="AQ170" s="22">
        <v>0</v>
      </c>
      <c r="AR170" s="22">
        <v>0</v>
      </c>
      <c r="AS170" s="22">
        <v>0</v>
      </c>
      <c r="AT170" s="22">
        <v>0</v>
      </c>
      <c r="AU170" s="19">
        <f t="shared" si="4"/>
        <v>14455</v>
      </c>
      <c r="AV170" s="22">
        <f>40020+525</f>
        <v>40545</v>
      </c>
      <c r="AW170" s="24" t="s">
        <v>54</v>
      </c>
      <c r="AX170" s="25">
        <v>45789</v>
      </c>
      <c r="AY170" s="15"/>
      <c r="AZ170" s="26"/>
      <c r="BA170" s="27">
        <f t="shared" si="8"/>
        <v>0</v>
      </c>
      <c r="BB170" s="14"/>
      <c r="BC170" s="28"/>
    </row>
    <row r="171" spans="1:55" ht="28.8" x14ac:dyDescent="0.4">
      <c r="A171" s="15">
        <v>170</v>
      </c>
      <c r="B171" s="16">
        <v>80419</v>
      </c>
      <c r="C171" s="17" t="s">
        <v>310</v>
      </c>
      <c r="D171" s="16" t="s">
        <v>125</v>
      </c>
      <c r="E171" s="16" t="s">
        <v>315</v>
      </c>
      <c r="F171" s="16">
        <v>30</v>
      </c>
      <c r="G171" s="16">
        <v>29</v>
      </c>
      <c r="H171" s="18">
        <f t="shared" si="7"/>
        <v>1</v>
      </c>
      <c r="I171" s="19">
        <f t="shared" si="1"/>
        <v>833.33333333333337</v>
      </c>
      <c r="J171" s="16">
        <v>2</v>
      </c>
      <c r="K171" s="33">
        <v>1</v>
      </c>
      <c r="L171" s="21"/>
      <c r="M171" s="21"/>
      <c r="N171" s="16">
        <v>0</v>
      </c>
      <c r="O171" s="16">
        <v>0</v>
      </c>
      <c r="P171" s="16">
        <v>0</v>
      </c>
      <c r="Q171" s="16">
        <v>0</v>
      </c>
      <c r="R171" s="16">
        <v>1</v>
      </c>
      <c r="S171" s="22">
        <v>25000</v>
      </c>
      <c r="T171" s="19">
        <f t="shared" si="2"/>
        <v>833.33333333333337</v>
      </c>
      <c r="U171" s="19">
        <f t="shared" si="3"/>
        <v>24166</v>
      </c>
      <c r="V171" s="22">
        <v>22500</v>
      </c>
      <c r="W171" s="31">
        <f>833+833</f>
        <v>1666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0</v>
      </c>
      <c r="AH171" s="22">
        <v>0</v>
      </c>
      <c r="AI171" s="22">
        <v>0</v>
      </c>
      <c r="AJ171" s="22">
        <v>0</v>
      </c>
      <c r="AK171" s="22">
        <v>0</v>
      </c>
      <c r="AL171" s="22">
        <v>0</v>
      </c>
      <c r="AM171" s="22">
        <v>0</v>
      </c>
      <c r="AN171" s="22">
        <v>0</v>
      </c>
      <c r="AO171" s="22">
        <v>0</v>
      </c>
      <c r="AP171" s="22">
        <v>0</v>
      </c>
      <c r="AQ171" s="22">
        <v>0</v>
      </c>
      <c r="AR171" s="22">
        <v>0</v>
      </c>
      <c r="AS171" s="22">
        <v>0</v>
      </c>
      <c r="AT171" s="22">
        <v>0</v>
      </c>
      <c r="AU171" s="19">
        <f t="shared" si="4"/>
        <v>0</v>
      </c>
      <c r="AV171" s="22">
        <f>23333.33+833</f>
        <v>24166.33</v>
      </c>
      <c r="AW171" s="29" t="s">
        <v>54</v>
      </c>
      <c r="AX171" s="25">
        <v>45789</v>
      </c>
      <c r="AY171" s="15"/>
      <c r="AZ171" s="26"/>
      <c r="BA171" s="27">
        <f t="shared" si="8"/>
        <v>-832.99666666666599</v>
      </c>
      <c r="BB171" s="14"/>
      <c r="BC171" s="28"/>
    </row>
    <row r="172" spans="1:55" ht="42.6" x14ac:dyDescent="0.4">
      <c r="A172" s="15">
        <v>171</v>
      </c>
      <c r="B172" s="16">
        <v>80754</v>
      </c>
      <c r="C172" s="17" t="s">
        <v>310</v>
      </c>
      <c r="D172" s="16" t="s">
        <v>316</v>
      </c>
      <c r="E172" s="16" t="s">
        <v>317</v>
      </c>
      <c r="F172" s="16">
        <v>30</v>
      </c>
      <c r="G172" s="16">
        <v>27</v>
      </c>
      <c r="H172" s="18">
        <f t="shared" si="7"/>
        <v>3</v>
      </c>
      <c r="I172" s="19">
        <f t="shared" si="1"/>
        <v>2500</v>
      </c>
      <c r="J172" s="16">
        <v>0</v>
      </c>
      <c r="K172" s="20">
        <v>0</v>
      </c>
      <c r="L172" s="21"/>
      <c r="M172" s="21"/>
      <c r="N172" s="16">
        <v>0</v>
      </c>
      <c r="O172" s="16">
        <v>0</v>
      </c>
      <c r="P172" s="16">
        <v>0</v>
      </c>
      <c r="Q172" s="16">
        <v>0</v>
      </c>
      <c r="R172" s="16">
        <v>3</v>
      </c>
      <c r="S172" s="22">
        <v>25000</v>
      </c>
      <c r="T172" s="19">
        <f t="shared" si="2"/>
        <v>0</v>
      </c>
      <c r="U172" s="19">
        <f t="shared" si="3"/>
        <v>22500</v>
      </c>
      <c r="V172" s="22">
        <v>22500</v>
      </c>
      <c r="W172" s="31">
        <v>0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  <c r="AH172" s="22">
        <v>0</v>
      </c>
      <c r="AI172" s="22">
        <v>0</v>
      </c>
      <c r="AJ172" s="22">
        <v>0</v>
      </c>
      <c r="AK172" s="22">
        <v>0</v>
      </c>
      <c r="AL172" s="22">
        <v>0</v>
      </c>
      <c r="AM172" s="22">
        <v>0</v>
      </c>
      <c r="AN172" s="22">
        <v>0</v>
      </c>
      <c r="AO172" s="22">
        <v>0</v>
      </c>
      <c r="AP172" s="22">
        <v>0</v>
      </c>
      <c r="AQ172" s="22">
        <v>0</v>
      </c>
      <c r="AR172" s="22">
        <v>0</v>
      </c>
      <c r="AS172" s="22">
        <v>0</v>
      </c>
      <c r="AT172" s="22">
        <v>0</v>
      </c>
      <c r="AU172" s="19">
        <f t="shared" si="4"/>
        <v>0</v>
      </c>
      <c r="AV172" s="22">
        <v>22500</v>
      </c>
      <c r="AW172" s="24" t="s">
        <v>54</v>
      </c>
      <c r="AX172" s="25">
        <v>45789</v>
      </c>
      <c r="AY172" s="15"/>
      <c r="AZ172" s="26"/>
      <c r="BA172" s="27">
        <f t="shared" si="8"/>
        <v>0</v>
      </c>
      <c r="BB172" s="14"/>
      <c r="BC172" s="28"/>
    </row>
    <row r="173" spans="1:55" ht="21" x14ac:dyDescent="0.4">
      <c r="A173" s="15">
        <v>172</v>
      </c>
      <c r="B173" s="16">
        <v>80755</v>
      </c>
      <c r="C173" s="17" t="s">
        <v>310</v>
      </c>
      <c r="D173" s="16" t="s">
        <v>125</v>
      </c>
      <c r="E173" s="16" t="s">
        <v>318</v>
      </c>
      <c r="F173" s="16">
        <v>30</v>
      </c>
      <c r="G173" s="16">
        <v>27</v>
      </c>
      <c r="H173" s="18">
        <f t="shared" si="7"/>
        <v>3</v>
      </c>
      <c r="I173" s="19">
        <f t="shared" si="1"/>
        <v>2500</v>
      </c>
      <c r="J173" s="16">
        <v>0</v>
      </c>
      <c r="K173" s="20">
        <v>0</v>
      </c>
      <c r="L173" s="21"/>
      <c r="M173" s="21"/>
      <c r="N173" s="16">
        <v>0</v>
      </c>
      <c r="O173" s="16">
        <v>0</v>
      </c>
      <c r="P173" s="16">
        <v>0</v>
      </c>
      <c r="Q173" s="16">
        <v>0</v>
      </c>
      <c r="R173" s="16">
        <v>3</v>
      </c>
      <c r="S173" s="22">
        <v>25000</v>
      </c>
      <c r="T173" s="19">
        <f t="shared" si="2"/>
        <v>0</v>
      </c>
      <c r="U173" s="19">
        <f t="shared" si="3"/>
        <v>22500</v>
      </c>
      <c r="V173" s="22">
        <v>22500</v>
      </c>
      <c r="W173" s="31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  <c r="AH173" s="22">
        <v>0</v>
      </c>
      <c r="AI173" s="22">
        <v>0</v>
      </c>
      <c r="AJ173" s="22">
        <v>0</v>
      </c>
      <c r="AK173" s="22">
        <v>0</v>
      </c>
      <c r="AL173" s="22">
        <v>0</v>
      </c>
      <c r="AM173" s="22">
        <v>0</v>
      </c>
      <c r="AN173" s="22">
        <v>0</v>
      </c>
      <c r="AO173" s="22">
        <v>0</v>
      </c>
      <c r="AP173" s="22">
        <v>0</v>
      </c>
      <c r="AQ173" s="22">
        <v>0</v>
      </c>
      <c r="AR173" s="22">
        <v>0</v>
      </c>
      <c r="AS173" s="22">
        <v>0</v>
      </c>
      <c r="AT173" s="22">
        <v>0</v>
      </c>
      <c r="AU173" s="19">
        <f t="shared" si="4"/>
        <v>0</v>
      </c>
      <c r="AV173" s="22">
        <v>22500</v>
      </c>
      <c r="AW173" s="24" t="s">
        <v>54</v>
      </c>
      <c r="AX173" s="25">
        <v>45789</v>
      </c>
      <c r="AY173" s="15"/>
      <c r="AZ173" s="26"/>
      <c r="BA173" s="27">
        <f t="shared" si="8"/>
        <v>0</v>
      </c>
      <c r="BB173" s="14"/>
      <c r="BC173" s="28"/>
    </row>
    <row r="174" spans="1:55" ht="28.8" x14ac:dyDescent="0.4">
      <c r="A174" s="15">
        <v>173</v>
      </c>
      <c r="B174" s="16">
        <v>80782</v>
      </c>
      <c r="C174" s="17" t="s">
        <v>310</v>
      </c>
      <c r="D174" s="16" t="s">
        <v>319</v>
      </c>
      <c r="E174" s="16" t="s">
        <v>320</v>
      </c>
      <c r="F174" s="16">
        <v>30</v>
      </c>
      <c r="G174" s="16">
        <v>14</v>
      </c>
      <c r="H174" s="18">
        <f t="shared" si="7"/>
        <v>16</v>
      </c>
      <c r="I174" s="19">
        <f t="shared" si="1"/>
        <v>8000</v>
      </c>
      <c r="J174" s="16">
        <v>4</v>
      </c>
      <c r="K174" s="20">
        <v>2</v>
      </c>
      <c r="L174" s="21"/>
      <c r="M174" s="21"/>
      <c r="N174" s="16">
        <v>0</v>
      </c>
      <c r="O174" s="16">
        <v>0</v>
      </c>
      <c r="P174" s="16">
        <v>0</v>
      </c>
      <c r="Q174" s="16">
        <v>0</v>
      </c>
      <c r="R174" s="16">
        <v>16</v>
      </c>
      <c r="S174" s="22">
        <v>15000</v>
      </c>
      <c r="T174" s="19">
        <f t="shared" si="2"/>
        <v>1000</v>
      </c>
      <c r="U174" s="19">
        <f t="shared" si="3"/>
        <v>6000</v>
      </c>
      <c r="V174" s="22">
        <v>5000</v>
      </c>
      <c r="W174" s="31">
        <v>1000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22">
        <v>0</v>
      </c>
      <c r="AG174" s="22">
        <v>0</v>
      </c>
      <c r="AH174" s="22">
        <v>0</v>
      </c>
      <c r="AI174" s="22">
        <v>0</v>
      </c>
      <c r="AJ174" s="22">
        <v>0</v>
      </c>
      <c r="AK174" s="22">
        <v>0</v>
      </c>
      <c r="AL174" s="22">
        <v>0</v>
      </c>
      <c r="AM174" s="22">
        <v>0</v>
      </c>
      <c r="AN174" s="22">
        <v>0</v>
      </c>
      <c r="AO174" s="22">
        <v>0</v>
      </c>
      <c r="AP174" s="22">
        <v>0</v>
      </c>
      <c r="AQ174" s="22">
        <v>0</v>
      </c>
      <c r="AR174" s="22">
        <v>0</v>
      </c>
      <c r="AS174" s="22">
        <v>0</v>
      </c>
      <c r="AT174" s="22">
        <v>0</v>
      </c>
      <c r="AU174" s="19">
        <f t="shared" si="4"/>
        <v>0</v>
      </c>
      <c r="AV174" s="22">
        <v>6000</v>
      </c>
      <c r="AW174" s="24" t="s">
        <v>54</v>
      </c>
      <c r="AX174" s="25">
        <v>45789</v>
      </c>
      <c r="AY174" s="15"/>
      <c r="AZ174" s="26"/>
      <c r="BA174" s="27">
        <f t="shared" si="8"/>
        <v>0</v>
      </c>
      <c r="BB174" s="14"/>
      <c r="BC174" s="28"/>
    </row>
    <row r="175" spans="1:55" ht="28.8" x14ac:dyDescent="0.4">
      <c r="A175" s="15">
        <v>174</v>
      </c>
      <c r="B175" s="16">
        <v>6004</v>
      </c>
      <c r="C175" s="17" t="s">
        <v>321</v>
      </c>
      <c r="D175" s="16" t="s">
        <v>322</v>
      </c>
      <c r="E175" s="16" t="s">
        <v>323</v>
      </c>
      <c r="F175" s="16">
        <v>30</v>
      </c>
      <c r="G175" s="16">
        <v>30</v>
      </c>
      <c r="H175" s="18">
        <f t="shared" si="7"/>
        <v>0</v>
      </c>
      <c r="I175" s="19">
        <f t="shared" si="1"/>
        <v>0</v>
      </c>
      <c r="J175" s="16">
        <v>0</v>
      </c>
      <c r="K175" s="20">
        <v>0</v>
      </c>
      <c r="L175" s="21"/>
      <c r="M175" s="21"/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22">
        <v>40000</v>
      </c>
      <c r="T175" s="19">
        <f t="shared" si="2"/>
        <v>0</v>
      </c>
      <c r="U175" s="19">
        <f t="shared" si="3"/>
        <v>40000</v>
      </c>
      <c r="V175" s="22">
        <v>40000</v>
      </c>
      <c r="W175" s="31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>
        <v>2000</v>
      </c>
      <c r="AG175" s="22">
        <v>0</v>
      </c>
      <c r="AH175" s="22">
        <v>0</v>
      </c>
      <c r="AI175" s="22">
        <v>0</v>
      </c>
      <c r="AJ175" s="22">
        <v>0</v>
      </c>
      <c r="AK175" s="22">
        <v>0</v>
      </c>
      <c r="AL175" s="22">
        <v>0</v>
      </c>
      <c r="AM175" s="22">
        <v>0</v>
      </c>
      <c r="AN175" s="22">
        <v>0</v>
      </c>
      <c r="AO175" s="22">
        <v>0</v>
      </c>
      <c r="AP175" s="22">
        <v>0</v>
      </c>
      <c r="AQ175" s="22">
        <v>0</v>
      </c>
      <c r="AR175" s="22">
        <v>0</v>
      </c>
      <c r="AS175" s="22">
        <v>0</v>
      </c>
      <c r="AT175" s="22">
        <v>0</v>
      </c>
      <c r="AU175" s="19">
        <f t="shared" si="4"/>
        <v>2000</v>
      </c>
      <c r="AV175" s="22">
        <v>38000</v>
      </c>
      <c r="AW175" s="24" t="s">
        <v>54</v>
      </c>
      <c r="AX175" s="34">
        <v>-21000</v>
      </c>
      <c r="AY175" s="15"/>
      <c r="AZ175" s="26"/>
      <c r="BA175" s="27">
        <f t="shared" si="8"/>
        <v>0</v>
      </c>
      <c r="BB175" s="14"/>
      <c r="BC175" s="28"/>
    </row>
    <row r="176" spans="1:55" ht="56.4" x14ac:dyDescent="0.4">
      <c r="A176" s="15">
        <v>175</v>
      </c>
      <c r="B176" s="16">
        <v>6008</v>
      </c>
      <c r="C176" s="17" t="s">
        <v>321</v>
      </c>
      <c r="D176" s="16" t="s">
        <v>324</v>
      </c>
      <c r="E176" s="16" t="s">
        <v>325</v>
      </c>
      <c r="F176" s="16">
        <v>30</v>
      </c>
      <c r="G176" s="16">
        <v>30</v>
      </c>
      <c r="H176" s="18">
        <f t="shared" si="7"/>
        <v>0</v>
      </c>
      <c r="I176" s="19">
        <f t="shared" si="1"/>
        <v>0</v>
      </c>
      <c r="J176" s="16">
        <v>0</v>
      </c>
      <c r="K176" s="20">
        <v>0</v>
      </c>
      <c r="L176" s="21"/>
      <c r="M176" s="21"/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22">
        <v>40000</v>
      </c>
      <c r="T176" s="19">
        <f t="shared" si="2"/>
        <v>0</v>
      </c>
      <c r="U176" s="19">
        <f t="shared" si="3"/>
        <v>40000</v>
      </c>
      <c r="V176" s="22">
        <v>40000</v>
      </c>
      <c r="W176" s="31">
        <v>0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0</v>
      </c>
      <c r="AH176" s="22">
        <v>0</v>
      </c>
      <c r="AI176" s="22">
        <v>0</v>
      </c>
      <c r="AJ176" s="22">
        <v>0</v>
      </c>
      <c r="AK176" s="22">
        <v>0</v>
      </c>
      <c r="AL176" s="22">
        <v>0</v>
      </c>
      <c r="AM176" s="22">
        <v>0</v>
      </c>
      <c r="AN176" s="22">
        <v>0</v>
      </c>
      <c r="AO176" s="22">
        <v>0</v>
      </c>
      <c r="AP176" s="22">
        <v>0</v>
      </c>
      <c r="AQ176" s="22">
        <v>0</v>
      </c>
      <c r="AR176" s="22">
        <v>0</v>
      </c>
      <c r="AS176" s="22">
        <v>0</v>
      </c>
      <c r="AT176" s="22">
        <v>0</v>
      </c>
      <c r="AU176" s="19">
        <f t="shared" si="4"/>
        <v>0</v>
      </c>
      <c r="AV176" s="22">
        <v>40000</v>
      </c>
      <c r="AW176" s="24" t="s">
        <v>54</v>
      </c>
      <c r="AX176" s="25">
        <v>45789</v>
      </c>
      <c r="AY176" s="15"/>
      <c r="AZ176" s="26"/>
      <c r="BA176" s="27">
        <f t="shared" si="8"/>
        <v>0</v>
      </c>
      <c r="BB176" s="14"/>
      <c r="BC176" s="28"/>
    </row>
    <row r="177" spans="1:55" ht="28.8" x14ac:dyDescent="0.4">
      <c r="A177" s="15">
        <v>176</v>
      </c>
      <c r="B177" s="16">
        <v>6011</v>
      </c>
      <c r="C177" s="17" t="s">
        <v>321</v>
      </c>
      <c r="D177" s="16" t="s">
        <v>326</v>
      </c>
      <c r="E177" s="16" t="s">
        <v>327</v>
      </c>
      <c r="F177" s="16">
        <v>30</v>
      </c>
      <c r="G177" s="16">
        <v>28</v>
      </c>
      <c r="H177" s="18">
        <f t="shared" si="7"/>
        <v>2</v>
      </c>
      <c r="I177" s="19">
        <f t="shared" si="1"/>
        <v>2000</v>
      </c>
      <c r="J177" s="16">
        <v>1</v>
      </c>
      <c r="K177" s="20">
        <v>0</v>
      </c>
      <c r="L177" s="21"/>
      <c r="M177" s="21"/>
      <c r="N177" s="16">
        <v>1</v>
      </c>
      <c r="O177" s="16">
        <v>0</v>
      </c>
      <c r="P177" s="16">
        <v>1</v>
      </c>
      <c r="Q177" s="16">
        <v>0</v>
      </c>
      <c r="R177" s="16">
        <v>0</v>
      </c>
      <c r="S177" s="22">
        <v>30000</v>
      </c>
      <c r="T177" s="19">
        <f t="shared" si="2"/>
        <v>0</v>
      </c>
      <c r="U177" s="19">
        <f t="shared" si="3"/>
        <v>28500</v>
      </c>
      <c r="V177" s="22">
        <v>27000</v>
      </c>
      <c r="W177" s="31">
        <v>1000</v>
      </c>
      <c r="X177" s="22">
        <v>500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  <c r="AH177" s="22">
        <v>0</v>
      </c>
      <c r="AI177" s="22">
        <v>0</v>
      </c>
      <c r="AJ177" s="22">
        <v>0</v>
      </c>
      <c r="AK177" s="22">
        <v>0</v>
      </c>
      <c r="AL177" s="22">
        <v>0</v>
      </c>
      <c r="AM177" s="22">
        <v>0</v>
      </c>
      <c r="AN177" s="22">
        <v>0</v>
      </c>
      <c r="AO177" s="22">
        <v>0</v>
      </c>
      <c r="AP177" s="22">
        <v>0</v>
      </c>
      <c r="AQ177" s="22">
        <v>0</v>
      </c>
      <c r="AR177" s="22">
        <v>0</v>
      </c>
      <c r="AS177" s="22">
        <v>0</v>
      </c>
      <c r="AT177" s="22">
        <v>0</v>
      </c>
      <c r="AU177" s="19">
        <f t="shared" si="4"/>
        <v>0</v>
      </c>
      <c r="AV177" s="22">
        <v>28500</v>
      </c>
      <c r="AW177" s="24" t="s">
        <v>54</v>
      </c>
      <c r="AX177" s="25">
        <v>45789</v>
      </c>
      <c r="AY177" s="15"/>
      <c r="AZ177" s="26"/>
      <c r="BA177" s="27">
        <f t="shared" si="8"/>
        <v>0</v>
      </c>
      <c r="BB177" s="14"/>
      <c r="BC177" s="28"/>
    </row>
    <row r="178" spans="1:55" ht="42.6" x14ac:dyDescent="0.4">
      <c r="A178" s="15">
        <v>177</v>
      </c>
      <c r="B178" s="16">
        <v>80594</v>
      </c>
      <c r="C178" s="17" t="s">
        <v>321</v>
      </c>
      <c r="D178" s="16" t="s">
        <v>328</v>
      </c>
      <c r="E178" s="16" t="s">
        <v>329</v>
      </c>
      <c r="F178" s="16">
        <v>30</v>
      </c>
      <c r="G178" s="16">
        <v>30</v>
      </c>
      <c r="H178" s="18">
        <f t="shared" si="7"/>
        <v>0</v>
      </c>
      <c r="I178" s="19">
        <f t="shared" si="1"/>
        <v>0</v>
      </c>
      <c r="J178" s="16">
        <v>0</v>
      </c>
      <c r="K178" s="20">
        <v>0</v>
      </c>
      <c r="L178" s="21"/>
      <c r="M178" s="21"/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22">
        <v>30000</v>
      </c>
      <c r="T178" s="19">
        <f t="shared" si="2"/>
        <v>0</v>
      </c>
      <c r="U178" s="19">
        <f t="shared" si="3"/>
        <v>30000</v>
      </c>
      <c r="V178" s="22">
        <v>30000</v>
      </c>
      <c r="W178" s="31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2">
        <v>5000</v>
      </c>
      <c r="AG178" s="22">
        <v>0</v>
      </c>
      <c r="AH178" s="22">
        <v>0</v>
      </c>
      <c r="AI178" s="22">
        <v>0</v>
      </c>
      <c r="AJ178" s="22">
        <v>0</v>
      </c>
      <c r="AK178" s="22">
        <v>0</v>
      </c>
      <c r="AL178" s="22">
        <v>0</v>
      </c>
      <c r="AM178" s="22">
        <v>0</v>
      </c>
      <c r="AN178" s="22">
        <v>0</v>
      </c>
      <c r="AO178" s="22">
        <v>0</v>
      </c>
      <c r="AP178" s="22">
        <v>0</v>
      </c>
      <c r="AQ178" s="22">
        <v>0</v>
      </c>
      <c r="AR178" s="22">
        <v>0</v>
      </c>
      <c r="AS178" s="22">
        <v>0</v>
      </c>
      <c r="AT178" s="22">
        <v>0</v>
      </c>
      <c r="AU178" s="19">
        <f t="shared" si="4"/>
        <v>5000</v>
      </c>
      <c r="AV178" s="22">
        <v>25000</v>
      </c>
      <c r="AW178" s="24" t="s">
        <v>54</v>
      </c>
      <c r="AX178" s="25">
        <v>45789</v>
      </c>
      <c r="AY178" s="15"/>
      <c r="AZ178" s="26"/>
      <c r="BA178" s="27">
        <f t="shared" si="8"/>
        <v>0</v>
      </c>
      <c r="BB178" s="14"/>
      <c r="BC178" s="28"/>
    </row>
    <row r="179" spans="1:55" ht="42.6" x14ac:dyDescent="0.4">
      <c r="A179" s="15">
        <v>178</v>
      </c>
      <c r="B179" s="16">
        <v>80715</v>
      </c>
      <c r="C179" s="17" t="s">
        <v>321</v>
      </c>
      <c r="D179" s="16" t="s">
        <v>330</v>
      </c>
      <c r="E179" s="16" t="s">
        <v>331</v>
      </c>
      <c r="F179" s="16">
        <v>30</v>
      </c>
      <c r="G179" s="16">
        <v>30</v>
      </c>
      <c r="H179" s="18">
        <f t="shared" si="7"/>
        <v>0</v>
      </c>
      <c r="I179" s="19">
        <f t="shared" si="1"/>
        <v>0</v>
      </c>
      <c r="J179" s="16">
        <v>0</v>
      </c>
      <c r="K179" s="20">
        <v>0</v>
      </c>
      <c r="L179" s="21"/>
      <c r="M179" s="21"/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22">
        <v>25000</v>
      </c>
      <c r="T179" s="19">
        <f t="shared" si="2"/>
        <v>0</v>
      </c>
      <c r="U179" s="19">
        <f t="shared" si="3"/>
        <v>25000</v>
      </c>
      <c r="V179" s="22">
        <v>25000</v>
      </c>
      <c r="W179" s="31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>
        <v>5000</v>
      </c>
      <c r="AG179" s="22">
        <v>0</v>
      </c>
      <c r="AH179" s="22">
        <v>0</v>
      </c>
      <c r="AI179" s="22">
        <v>0</v>
      </c>
      <c r="AJ179" s="22">
        <v>0</v>
      </c>
      <c r="AK179" s="22">
        <v>0</v>
      </c>
      <c r="AL179" s="22">
        <v>0</v>
      </c>
      <c r="AM179" s="22">
        <v>0</v>
      </c>
      <c r="AN179" s="22">
        <v>0</v>
      </c>
      <c r="AO179" s="22">
        <v>0</v>
      </c>
      <c r="AP179" s="22">
        <v>0</v>
      </c>
      <c r="AQ179" s="22">
        <v>0</v>
      </c>
      <c r="AR179" s="22">
        <v>0</v>
      </c>
      <c r="AS179" s="22">
        <v>0</v>
      </c>
      <c r="AT179" s="22">
        <v>0</v>
      </c>
      <c r="AU179" s="19">
        <f t="shared" si="4"/>
        <v>5000</v>
      </c>
      <c r="AV179" s="22">
        <v>20000</v>
      </c>
      <c r="AW179" s="24" t="s">
        <v>54</v>
      </c>
      <c r="AX179" s="25">
        <v>45789</v>
      </c>
      <c r="AY179" s="15"/>
      <c r="AZ179" s="26"/>
      <c r="BA179" s="27">
        <f t="shared" si="8"/>
        <v>0</v>
      </c>
      <c r="BB179" s="14"/>
      <c r="BC179" s="28"/>
    </row>
    <row r="180" spans="1:55" ht="28.8" x14ac:dyDescent="0.4">
      <c r="A180" s="15">
        <v>179</v>
      </c>
      <c r="B180" s="16">
        <v>16004</v>
      </c>
      <c r="C180" s="17" t="s">
        <v>332</v>
      </c>
      <c r="D180" s="16" t="s">
        <v>333</v>
      </c>
      <c r="E180" s="16" t="s">
        <v>334</v>
      </c>
      <c r="F180" s="16">
        <v>30</v>
      </c>
      <c r="G180" s="16">
        <v>30</v>
      </c>
      <c r="H180" s="18">
        <f t="shared" si="7"/>
        <v>0</v>
      </c>
      <c r="I180" s="19">
        <f t="shared" si="1"/>
        <v>0</v>
      </c>
      <c r="J180" s="16">
        <v>0</v>
      </c>
      <c r="K180" s="20">
        <v>0</v>
      </c>
      <c r="L180" s="21"/>
      <c r="M180" s="21"/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22">
        <v>120000</v>
      </c>
      <c r="T180" s="19">
        <f t="shared" si="2"/>
        <v>0</v>
      </c>
      <c r="U180" s="19">
        <f t="shared" si="3"/>
        <v>120000</v>
      </c>
      <c r="V180" s="22">
        <v>120000</v>
      </c>
      <c r="W180" s="31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22">
        <v>3937</v>
      </c>
      <c r="AD180" s="22">
        <v>0</v>
      </c>
      <c r="AE180" s="22">
        <v>0</v>
      </c>
      <c r="AF180" s="22">
        <v>0</v>
      </c>
      <c r="AG180" s="22">
        <v>0</v>
      </c>
      <c r="AH180" s="22">
        <v>0</v>
      </c>
      <c r="AI180" s="22">
        <v>0</v>
      </c>
      <c r="AJ180" s="22">
        <v>0</v>
      </c>
      <c r="AK180" s="22">
        <v>0</v>
      </c>
      <c r="AL180" s="22">
        <v>0</v>
      </c>
      <c r="AM180" s="22">
        <v>0</v>
      </c>
      <c r="AN180" s="22">
        <v>0</v>
      </c>
      <c r="AO180" s="22">
        <v>0</v>
      </c>
      <c r="AP180" s="22">
        <v>0</v>
      </c>
      <c r="AQ180" s="22">
        <v>0</v>
      </c>
      <c r="AR180" s="22">
        <v>0</v>
      </c>
      <c r="AS180" s="22">
        <v>0</v>
      </c>
      <c r="AT180" s="22">
        <v>0</v>
      </c>
      <c r="AU180" s="19">
        <f t="shared" si="4"/>
        <v>3937</v>
      </c>
      <c r="AV180" s="22">
        <v>116063</v>
      </c>
      <c r="AW180" s="24" t="s">
        <v>54</v>
      </c>
      <c r="AX180" s="25">
        <v>45790</v>
      </c>
      <c r="AY180" s="15"/>
      <c r="AZ180" s="26"/>
      <c r="BA180" s="27">
        <f t="shared" si="8"/>
        <v>0</v>
      </c>
      <c r="BB180" s="14"/>
      <c r="BC180" s="28"/>
    </row>
    <row r="181" spans="1:55" ht="28.8" x14ac:dyDescent="0.4">
      <c r="A181" s="15">
        <v>180</v>
      </c>
      <c r="B181" s="16">
        <v>16007</v>
      </c>
      <c r="C181" s="17" t="s">
        <v>332</v>
      </c>
      <c r="D181" s="16" t="s">
        <v>335</v>
      </c>
      <c r="E181" s="16" t="s">
        <v>245</v>
      </c>
      <c r="F181" s="16">
        <v>30</v>
      </c>
      <c r="G181" s="16">
        <v>30</v>
      </c>
      <c r="H181" s="18">
        <f t="shared" si="7"/>
        <v>0</v>
      </c>
      <c r="I181" s="19">
        <f t="shared" si="1"/>
        <v>0</v>
      </c>
      <c r="J181" s="16">
        <v>0</v>
      </c>
      <c r="K181" s="20">
        <v>0</v>
      </c>
      <c r="L181" s="21"/>
      <c r="M181" s="21"/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22">
        <v>65450</v>
      </c>
      <c r="T181" s="19">
        <f t="shared" si="2"/>
        <v>0</v>
      </c>
      <c r="U181" s="19">
        <f t="shared" si="3"/>
        <v>65450</v>
      </c>
      <c r="V181" s="22">
        <v>65450</v>
      </c>
      <c r="W181" s="31">
        <v>0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10000</v>
      </c>
      <c r="AG181" s="22">
        <v>0</v>
      </c>
      <c r="AH181" s="22">
        <v>0</v>
      </c>
      <c r="AI181" s="22">
        <v>0</v>
      </c>
      <c r="AJ181" s="22">
        <v>0</v>
      </c>
      <c r="AK181" s="22">
        <v>0</v>
      </c>
      <c r="AL181" s="22">
        <v>0</v>
      </c>
      <c r="AM181" s="22">
        <v>0</v>
      </c>
      <c r="AN181" s="22">
        <v>0</v>
      </c>
      <c r="AO181" s="22">
        <v>0</v>
      </c>
      <c r="AP181" s="22">
        <v>0</v>
      </c>
      <c r="AQ181" s="22">
        <v>0</v>
      </c>
      <c r="AR181" s="22">
        <v>0</v>
      </c>
      <c r="AS181" s="22">
        <v>0</v>
      </c>
      <c r="AT181" s="22">
        <v>0</v>
      </c>
      <c r="AU181" s="19">
        <f t="shared" si="4"/>
        <v>10000</v>
      </c>
      <c r="AV181" s="22">
        <v>55450</v>
      </c>
      <c r="AW181" s="24" t="s">
        <v>54</v>
      </c>
      <c r="AX181" s="25">
        <v>45789</v>
      </c>
      <c r="AY181" s="15"/>
      <c r="AZ181" s="26"/>
      <c r="BA181" s="27">
        <f t="shared" si="8"/>
        <v>-7.2759576141834259E-12</v>
      </c>
      <c r="BB181" s="14"/>
      <c r="BC181" s="28"/>
    </row>
    <row r="182" spans="1:55" ht="42.6" x14ac:dyDescent="0.4">
      <c r="A182" s="15">
        <v>181</v>
      </c>
      <c r="B182" s="16">
        <v>16014</v>
      </c>
      <c r="C182" s="17" t="s">
        <v>332</v>
      </c>
      <c r="D182" s="16" t="s">
        <v>336</v>
      </c>
      <c r="E182" s="16" t="s">
        <v>337</v>
      </c>
      <c r="F182" s="16">
        <v>30</v>
      </c>
      <c r="G182" s="16">
        <v>30</v>
      </c>
      <c r="H182" s="18">
        <f t="shared" si="7"/>
        <v>0</v>
      </c>
      <c r="I182" s="19">
        <f t="shared" si="1"/>
        <v>0</v>
      </c>
      <c r="J182" s="16">
        <v>0</v>
      </c>
      <c r="K182" s="20">
        <v>0</v>
      </c>
      <c r="L182" s="21"/>
      <c r="M182" s="21"/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22">
        <v>45000</v>
      </c>
      <c r="T182" s="19">
        <f t="shared" si="2"/>
        <v>0</v>
      </c>
      <c r="U182" s="19">
        <f t="shared" si="3"/>
        <v>45000</v>
      </c>
      <c r="V182" s="22">
        <v>45000</v>
      </c>
      <c r="W182" s="31">
        <v>0</v>
      </c>
      <c r="X182" s="22">
        <v>0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45000</v>
      </c>
      <c r="AG182" s="22">
        <v>0</v>
      </c>
      <c r="AH182" s="22">
        <v>0</v>
      </c>
      <c r="AI182" s="22">
        <v>0</v>
      </c>
      <c r="AJ182" s="22">
        <v>0</v>
      </c>
      <c r="AK182" s="22">
        <v>0</v>
      </c>
      <c r="AL182" s="22">
        <v>0</v>
      </c>
      <c r="AM182" s="22">
        <v>0</v>
      </c>
      <c r="AN182" s="22">
        <v>0</v>
      </c>
      <c r="AO182" s="22">
        <v>0</v>
      </c>
      <c r="AP182" s="22">
        <v>0</v>
      </c>
      <c r="AQ182" s="22">
        <v>0</v>
      </c>
      <c r="AR182" s="22">
        <v>0</v>
      </c>
      <c r="AS182" s="22">
        <v>0</v>
      </c>
      <c r="AT182" s="22">
        <v>0</v>
      </c>
      <c r="AU182" s="19">
        <f t="shared" si="4"/>
        <v>45000</v>
      </c>
      <c r="AV182" s="22">
        <v>0</v>
      </c>
      <c r="AW182" s="24"/>
      <c r="AX182" s="34"/>
      <c r="AY182" s="15"/>
      <c r="AZ182" s="26"/>
      <c r="BA182" s="27">
        <f t="shared" si="8"/>
        <v>0</v>
      </c>
      <c r="BB182" s="14"/>
      <c r="BC182" s="28"/>
    </row>
    <row r="183" spans="1:55" ht="28.8" x14ac:dyDescent="0.4">
      <c r="A183" s="15">
        <v>182</v>
      </c>
      <c r="B183" s="16">
        <v>28038</v>
      </c>
      <c r="C183" s="17" t="s">
        <v>332</v>
      </c>
      <c r="D183" s="16" t="s">
        <v>125</v>
      </c>
      <c r="E183" s="16" t="s">
        <v>338</v>
      </c>
      <c r="F183" s="16">
        <v>30</v>
      </c>
      <c r="G183" s="16">
        <v>30</v>
      </c>
      <c r="H183" s="18">
        <f t="shared" si="7"/>
        <v>0</v>
      </c>
      <c r="I183" s="19">
        <f t="shared" si="1"/>
        <v>0</v>
      </c>
      <c r="J183" s="16">
        <v>0</v>
      </c>
      <c r="K183" s="20">
        <v>0</v>
      </c>
      <c r="L183" s="21"/>
      <c r="M183" s="21"/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22">
        <v>22000</v>
      </c>
      <c r="T183" s="19">
        <f t="shared" si="2"/>
        <v>0</v>
      </c>
      <c r="U183" s="19">
        <f t="shared" si="3"/>
        <v>22000</v>
      </c>
      <c r="V183" s="22">
        <v>22000</v>
      </c>
      <c r="W183" s="31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0</v>
      </c>
      <c r="AE183" s="22">
        <v>0</v>
      </c>
      <c r="AF183" s="22">
        <v>4000</v>
      </c>
      <c r="AG183" s="22">
        <v>0</v>
      </c>
      <c r="AH183" s="22">
        <v>0</v>
      </c>
      <c r="AI183" s="22">
        <v>0</v>
      </c>
      <c r="AJ183" s="22">
        <v>0</v>
      </c>
      <c r="AK183" s="22">
        <v>0</v>
      </c>
      <c r="AL183" s="22">
        <v>0</v>
      </c>
      <c r="AM183" s="22">
        <v>0</v>
      </c>
      <c r="AN183" s="22">
        <v>0</v>
      </c>
      <c r="AO183" s="22">
        <v>0</v>
      </c>
      <c r="AP183" s="22">
        <v>0</v>
      </c>
      <c r="AQ183" s="22">
        <v>0</v>
      </c>
      <c r="AR183" s="22">
        <v>0</v>
      </c>
      <c r="AS183" s="22">
        <v>0</v>
      </c>
      <c r="AT183" s="22">
        <v>0</v>
      </c>
      <c r="AU183" s="19">
        <f t="shared" si="4"/>
        <v>4000</v>
      </c>
      <c r="AV183" s="22">
        <v>18000</v>
      </c>
      <c r="AW183" s="24" t="s">
        <v>54</v>
      </c>
      <c r="AX183" s="25">
        <v>45790</v>
      </c>
      <c r="AY183" s="15"/>
      <c r="AZ183" s="26"/>
      <c r="BA183" s="27">
        <f t="shared" si="8"/>
        <v>0</v>
      </c>
      <c r="BB183" s="14"/>
      <c r="BC183" s="28"/>
    </row>
    <row r="184" spans="1:55" ht="28.8" x14ac:dyDescent="0.4">
      <c r="A184" s="15">
        <v>183</v>
      </c>
      <c r="B184" s="16">
        <v>16034</v>
      </c>
      <c r="C184" s="17" t="s">
        <v>332</v>
      </c>
      <c r="D184" s="16" t="s">
        <v>335</v>
      </c>
      <c r="E184" s="16" t="s">
        <v>339</v>
      </c>
      <c r="F184" s="16">
        <v>30</v>
      </c>
      <c r="G184" s="16">
        <v>29</v>
      </c>
      <c r="H184" s="18">
        <f t="shared" si="7"/>
        <v>1</v>
      </c>
      <c r="I184" s="19">
        <f t="shared" si="1"/>
        <v>1100</v>
      </c>
      <c r="J184" s="16">
        <v>0</v>
      </c>
      <c r="K184" s="20">
        <v>0</v>
      </c>
      <c r="L184" s="21"/>
      <c r="M184" s="21"/>
      <c r="N184" s="16">
        <v>0</v>
      </c>
      <c r="O184" s="16">
        <v>0</v>
      </c>
      <c r="P184" s="16">
        <v>0</v>
      </c>
      <c r="Q184" s="16">
        <v>0</v>
      </c>
      <c r="R184" s="16">
        <v>1</v>
      </c>
      <c r="S184" s="22">
        <v>33000</v>
      </c>
      <c r="T184" s="19">
        <f t="shared" si="2"/>
        <v>0</v>
      </c>
      <c r="U184" s="19">
        <f t="shared" si="3"/>
        <v>31900</v>
      </c>
      <c r="V184" s="22">
        <v>31900</v>
      </c>
      <c r="W184" s="31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>
        <v>4000</v>
      </c>
      <c r="AG184" s="22">
        <v>0</v>
      </c>
      <c r="AH184" s="22">
        <v>0</v>
      </c>
      <c r="AI184" s="22">
        <v>0</v>
      </c>
      <c r="AJ184" s="22">
        <v>0</v>
      </c>
      <c r="AK184" s="22">
        <v>0</v>
      </c>
      <c r="AL184" s="22">
        <v>0</v>
      </c>
      <c r="AM184" s="22">
        <v>0</v>
      </c>
      <c r="AN184" s="22">
        <v>0</v>
      </c>
      <c r="AO184" s="22">
        <v>0</v>
      </c>
      <c r="AP184" s="22">
        <v>0</v>
      </c>
      <c r="AQ184" s="22">
        <v>0</v>
      </c>
      <c r="AR184" s="22">
        <v>0</v>
      </c>
      <c r="AS184" s="22">
        <v>0</v>
      </c>
      <c r="AT184" s="22">
        <v>0</v>
      </c>
      <c r="AU184" s="19">
        <f t="shared" si="4"/>
        <v>4000</v>
      </c>
      <c r="AV184" s="22">
        <v>27900</v>
      </c>
      <c r="AW184" s="24" t="s">
        <v>54</v>
      </c>
      <c r="AX184" s="25">
        <v>45789</v>
      </c>
      <c r="AY184" s="15"/>
      <c r="AZ184" s="26"/>
      <c r="BA184" s="27">
        <f t="shared" si="8"/>
        <v>0</v>
      </c>
      <c r="BB184" s="14"/>
      <c r="BC184" s="28"/>
    </row>
    <row r="185" spans="1:55" ht="28.8" x14ac:dyDescent="0.4">
      <c r="A185" s="15">
        <v>184</v>
      </c>
      <c r="B185" s="16">
        <v>16028</v>
      </c>
      <c r="C185" s="17" t="s">
        <v>332</v>
      </c>
      <c r="D185" s="16" t="s">
        <v>335</v>
      </c>
      <c r="E185" s="16" t="s">
        <v>340</v>
      </c>
      <c r="F185" s="16">
        <v>30</v>
      </c>
      <c r="G185" s="16">
        <v>30</v>
      </c>
      <c r="H185" s="18">
        <f t="shared" si="7"/>
        <v>0</v>
      </c>
      <c r="I185" s="19">
        <f t="shared" si="1"/>
        <v>0</v>
      </c>
      <c r="J185" s="16">
        <v>0</v>
      </c>
      <c r="K185" s="20">
        <v>0</v>
      </c>
      <c r="L185" s="21"/>
      <c r="M185" s="21"/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22">
        <v>44000</v>
      </c>
      <c r="T185" s="19">
        <f t="shared" si="2"/>
        <v>0</v>
      </c>
      <c r="U185" s="19">
        <f t="shared" si="3"/>
        <v>44000</v>
      </c>
      <c r="V185" s="22">
        <v>44000</v>
      </c>
      <c r="W185" s="31">
        <v>0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>
        <v>7000</v>
      </c>
      <c r="AG185" s="22">
        <v>0</v>
      </c>
      <c r="AH185" s="22">
        <v>0</v>
      </c>
      <c r="AI185" s="22">
        <v>0</v>
      </c>
      <c r="AJ185" s="22">
        <v>0</v>
      </c>
      <c r="AK185" s="22">
        <v>0</v>
      </c>
      <c r="AL185" s="22">
        <v>0</v>
      </c>
      <c r="AM185" s="22">
        <v>0</v>
      </c>
      <c r="AN185" s="22">
        <v>0</v>
      </c>
      <c r="AO185" s="22">
        <v>0</v>
      </c>
      <c r="AP185" s="22">
        <v>0</v>
      </c>
      <c r="AQ185" s="22">
        <v>0</v>
      </c>
      <c r="AR185" s="22">
        <v>0</v>
      </c>
      <c r="AS185" s="22">
        <v>0</v>
      </c>
      <c r="AT185" s="22">
        <v>0</v>
      </c>
      <c r="AU185" s="19">
        <f t="shared" si="4"/>
        <v>7000</v>
      </c>
      <c r="AV185" s="22">
        <v>37000</v>
      </c>
      <c r="AW185" s="24" t="s">
        <v>54</v>
      </c>
      <c r="AX185" s="25">
        <v>45789</v>
      </c>
      <c r="AY185" s="15"/>
      <c r="AZ185" s="26"/>
      <c r="BA185" s="27">
        <f t="shared" si="8"/>
        <v>0</v>
      </c>
      <c r="BB185" s="14"/>
      <c r="BC185" s="28"/>
    </row>
    <row r="186" spans="1:55" ht="28.8" x14ac:dyDescent="0.4">
      <c r="A186" s="15">
        <v>185</v>
      </c>
      <c r="B186" s="16">
        <v>16036</v>
      </c>
      <c r="C186" s="17" t="s">
        <v>332</v>
      </c>
      <c r="D186" s="16" t="s">
        <v>335</v>
      </c>
      <c r="E186" s="16" t="s">
        <v>341</v>
      </c>
      <c r="F186" s="16">
        <v>30</v>
      </c>
      <c r="G186" s="16">
        <v>30</v>
      </c>
      <c r="H186" s="18">
        <f t="shared" si="7"/>
        <v>0</v>
      </c>
      <c r="I186" s="19">
        <f t="shared" si="1"/>
        <v>0</v>
      </c>
      <c r="J186" s="16">
        <v>0</v>
      </c>
      <c r="K186" s="20">
        <v>0</v>
      </c>
      <c r="L186" s="21"/>
      <c r="M186" s="21"/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22">
        <v>38500</v>
      </c>
      <c r="T186" s="19">
        <f t="shared" si="2"/>
        <v>0</v>
      </c>
      <c r="U186" s="19">
        <f t="shared" si="3"/>
        <v>38500</v>
      </c>
      <c r="V186" s="22">
        <v>38500</v>
      </c>
      <c r="W186" s="31">
        <v>0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  <c r="AH186" s="22">
        <v>0</v>
      </c>
      <c r="AI186" s="22">
        <v>0</v>
      </c>
      <c r="AJ186" s="22">
        <v>0</v>
      </c>
      <c r="AK186" s="22">
        <v>0</v>
      </c>
      <c r="AL186" s="22">
        <v>0</v>
      </c>
      <c r="AM186" s="22">
        <v>0</v>
      </c>
      <c r="AN186" s="22">
        <v>0</v>
      </c>
      <c r="AO186" s="22">
        <v>0</v>
      </c>
      <c r="AP186" s="22">
        <v>0</v>
      </c>
      <c r="AQ186" s="22">
        <v>0</v>
      </c>
      <c r="AR186" s="22">
        <v>0</v>
      </c>
      <c r="AS186" s="22">
        <v>0</v>
      </c>
      <c r="AT186" s="22">
        <v>0</v>
      </c>
      <c r="AU186" s="19">
        <f t="shared" si="4"/>
        <v>0</v>
      </c>
      <c r="AV186" s="22">
        <v>38500</v>
      </c>
      <c r="AW186" s="24" t="s">
        <v>54</v>
      </c>
      <c r="AX186" s="25">
        <v>45789</v>
      </c>
      <c r="AY186" s="15"/>
      <c r="AZ186" s="26"/>
      <c r="BA186" s="27">
        <f t="shared" si="8"/>
        <v>0</v>
      </c>
      <c r="BB186" s="14"/>
      <c r="BC186" s="28"/>
    </row>
    <row r="187" spans="1:55" ht="28.8" x14ac:dyDescent="0.4">
      <c r="A187" s="15">
        <v>186</v>
      </c>
      <c r="B187" s="16">
        <v>16038</v>
      </c>
      <c r="C187" s="17" t="s">
        <v>332</v>
      </c>
      <c r="D187" s="16" t="s">
        <v>335</v>
      </c>
      <c r="E187" s="16" t="s">
        <v>342</v>
      </c>
      <c r="F187" s="16">
        <v>30</v>
      </c>
      <c r="G187" s="16">
        <v>29</v>
      </c>
      <c r="H187" s="18">
        <f t="shared" si="7"/>
        <v>1</v>
      </c>
      <c r="I187" s="19">
        <f t="shared" si="1"/>
        <v>1283.3333333333333</v>
      </c>
      <c r="J187" s="16">
        <v>0</v>
      </c>
      <c r="K187" s="20">
        <v>0</v>
      </c>
      <c r="L187" s="21"/>
      <c r="M187" s="21"/>
      <c r="N187" s="16">
        <v>0</v>
      </c>
      <c r="O187" s="16">
        <v>0</v>
      </c>
      <c r="P187" s="16">
        <v>1</v>
      </c>
      <c r="Q187" s="16">
        <v>0</v>
      </c>
      <c r="R187" s="16">
        <v>0</v>
      </c>
      <c r="S187" s="22">
        <v>38500</v>
      </c>
      <c r="T187" s="19">
        <f t="shared" si="2"/>
        <v>0</v>
      </c>
      <c r="U187" s="19">
        <f t="shared" si="3"/>
        <v>37217</v>
      </c>
      <c r="V187" s="22">
        <v>37217</v>
      </c>
      <c r="W187" s="31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  <c r="AH187" s="22">
        <v>0</v>
      </c>
      <c r="AI187" s="22">
        <v>0</v>
      </c>
      <c r="AJ187" s="22">
        <v>0</v>
      </c>
      <c r="AK187" s="22">
        <v>0</v>
      </c>
      <c r="AL187" s="22">
        <v>0</v>
      </c>
      <c r="AM187" s="22">
        <v>0</v>
      </c>
      <c r="AN187" s="22">
        <v>0</v>
      </c>
      <c r="AO187" s="22">
        <v>0</v>
      </c>
      <c r="AP187" s="22">
        <v>0</v>
      </c>
      <c r="AQ187" s="22">
        <v>0</v>
      </c>
      <c r="AR187" s="22">
        <v>0</v>
      </c>
      <c r="AS187" s="22">
        <v>0</v>
      </c>
      <c r="AT187" s="22">
        <v>0</v>
      </c>
      <c r="AU187" s="19">
        <f t="shared" si="4"/>
        <v>0</v>
      </c>
      <c r="AV187" s="22">
        <v>37216.67</v>
      </c>
      <c r="AW187" s="24" t="s">
        <v>54</v>
      </c>
      <c r="AX187" s="25">
        <v>45790</v>
      </c>
      <c r="AY187" s="15"/>
      <c r="AZ187" s="26"/>
      <c r="BA187" s="27">
        <f t="shared" si="8"/>
        <v>-3.3333333340124227E-3</v>
      </c>
      <c r="BB187" s="14"/>
      <c r="BC187" s="28"/>
    </row>
    <row r="188" spans="1:55" ht="28.8" x14ac:dyDescent="0.4">
      <c r="A188" s="15">
        <v>187</v>
      </c>
      <c r="B188" s="16">
        <v>16048</v>
      </c>
      <c r="C188" s="17" t="s">
        <v>332</v>
      </c>
      <c r="D188" s="16" t="s">
        <v>343</v>
      </c>
      <c r="E188" s="16" t="s">
        <v>344</v>
      </c>
      <c r="F188" s="16">
        <v>30</v>
      </c>
      <c r="G188" s="16">
        <v>29</v>
      </c>
      <c r="H188" s="18">
        <f t="shared" si="7"/>
        <v>1</v>
      </c>
      <c r="I188" s="19">
        <f t="shared" si="1"/>
        <v>833.33333333333337</v>
      </c>
      <c r="J188" s="16">
        <v>0</v>
      </c>
      <c r="K188" s="20">
        <v>0</v>
      </c>
      <c r="L188" s="21"/>
      <c r="M188" s="21"/>
      <c r="N188" s="16">
        <v>0</v>
      </c>
      <c r="O188" s="16">
        <v>0</v>
      </c>
      <c r="P188" s="16">
        <v>1</v>
      </c>
      <c r="Q188" s="16">
        <v>0</v>
      </c>
      <c r="R188" s="16">
        <v>0</v>
      </c>
      <c r="S188" s="22">
        <v>25000</v>
      </c>
      <c r="T188" s="19">
        <f t="shared" si="2"/>
        <v>0</v>
      </c>
      <c r="U188" s="19">
        <f t="shared" si="3"/>
        <v>24167</v>
      </c>
      <c r="V188" s="22">
        <v>24167</v>
      </c>
      <c r="W188" s="31">
        <v>0</v>
      </c>
      <c r="X188" s="22">
        <v>0</v>
      </c>
      <c r="Y188" s="22">
        <v>0</v>
      </c>
      <c r="Z188" s="22">
        <v>0</v>
      </c>
      <c r="AA188" s="22">
        <v>0</v>
      </c>
      <c r="AB188" s="22">
        <v>0</v>
      </c>
      <c r="AC188" s="22">
        <v>0</v>
      </c>
      <c r="AD188" s="22">
        <v>0</v>
      </c>
      <c r="AE188" s="22">
        <v>0</v>
      </c>
      <c r="AF188" s="22">
        <v>4000</v>
      </c>
      <c r="AG188" s="22">
        <v>0</v>
      </c>
      <c r="AH188" s="22">
        <v>0</v>
      </c>
      <c r="AI188" s="22">
        <v>0</v>
      </c>
      <c r="AJ188" s="22">
        <v>0</v>
      </c>
      <c r="AK188" s="22">
        <v>0</v>
      </c>
      <c r="AL188" s="22">
        <v>0</v>
      </c>
      <c r="AM188" s="22">
        <v>0</v>
      </c>
      <c r="AN188" s="22">
        <v>0</v>
      </c>
      <c r="AO188" s="22">
        <v>0</v>
      </c>
      <c r="AP188" s="22">
        <v>0</v>
      </c>
      <c r="AQ188" s="22">
        <v>0</v>
      </c>
      <c r="AR188" s="22">
        <v>0</v>
      </c>
      <c r="AS188" s="22">
        <v>0</v>
      </c>
      <c r="AT188" s="22">
        <v>0</v>
      </c>
      <c r="AU188" s="19">
        <f t="shared" si="4"/>
        <v>4000</v>
      </c>
      <c r="AV188" s="22">
        <v>20166.669999999998</v>
      </c>
      <c r="AW188" s="24" t="s">
        <v>54</v>
      </c>
      <c r="AX188" s="25">
        <v>45790</v>
      </c>
      <c r="AY188" s="15"/>
      <c r="AZ188" s="26"/>
      <c r="BA188" s="27">
        <f t="shared" si="8"/>
        <v>-3.3333333303744439E-3</v>
      </c>
      <c r="BB188" s="14"/>
      <c r="BC188" s="28"/>
    </row>
    <row r="189" spans="1:55" ht="28.8" x14ac:dyDescent="0.4">
      <c r="A189" s="15">
        <v>188</v>
      </c>
      <c r="B189" s="16">
        <v>16049</v>
      </c>
      <c r="C189" s="17" t="s">
        <v>332</v>
      </c>
      <c r="D189" s="16" t="s">
        <v>345</v>
      </c>
      <c r="E189" s="16" t="s">
        <v>346</v>
      </c>
      <c r="F189" s="16">
        <v>30</v>
      </c>
      <c r="G189" s="16">
        <v>29</v>
      </c>
      <c r="H189" s="18">
        <f t="shared" si="7"/>
        <v>1</v>
      </c>
      <c r="I189" s="19">
        <f t="shared" si="1"/>
        <v>833.33333333333337</v>
      </c>
      <c r="J189" s="16">
        <v>0</v>
      </c>
      <c r="K189" s="20">
        <v>0</v>
      </c>
      <c r="L189" s="21"/>
      <c r="M189" s="21"/>
      <c r="N189" s="16">
        <v>0</v>
      </c>
      <c r="O189" s="16">
        <v>0</v>
      </c>
      <c r="P189" s="16">
        <v>1</v>
      </c>
      <c r="Q189" s="16">
        <v>0</v>
      </c>
      <c r="R189" s="16">
        <v>0</v>
      </c>
      <c r="S189" s="22">
        <v>25000</v>
      </c>
      <c r="T189" s="19">
        <f t="shared" si="2"/>
        <v>0</v>
      </c>
      <c r="U189" s="19">
        <f t="shared" si="3"/>
        <v>24167</v>
      </c>
      <c r="V189" s="22">
        <v>24167</v>
      </c>
      <c r="W189" s="31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4000</v>
      </c>
      <c r="AG189" s="22">
        <v>0</v>
      </c>
      <c r="AH189" s="22">
        <v>0</v>
      </c>
      <c r="AI189" s="22">
        <v>0</v>
      </c>
      <c r="AJ189" s="22">
        <v>0</v>
      </c>
      <c r="AK189" s="22">
        <v>0</v>
      </c>
      <c r="AL189" s="22">
        <v>0</v>
      </c>
      <c r="AM189" s="22">
        <v>0</v>
      </c>
      <c r="AN189" s="22">
        <v>0</v>
      </c>
      <c r="AO189" s="22">
        <v>0</v>
      </c>
      <c r="AP189" s="22">
        <v>0</v>
      </c>
      <c r="AQ189" s="22">
        <v>0</v>
      </c>
      <c r="AR189" s="22">
        <v>0</v>
      </c>
      <c r="AS189" s="22">
        <v>0</v>
      </c>
      <c r="AT189" s="22">
        <v>0</v>
      </c>
      <c r="AU189" s="19">
        <f t="shared" si="4"/>
        <v>4000</v>
      </c>
      <c r="AV189" s="22">
        <v>20166.669999999998</v>
      </c>
      <c r="AW189" s="24" t="s">
        <v>54</v>
      </c>
      <c r="AX189" s="25">
        <v>45789</v>
      </c>
      <c r="AY189" s="15"/>
      <c r="AZ189" s="26"/>
      <c r="BA189" s="27">
        <f t="shared" si="8"/>
        <v>-3.3333333303744439E-3</v>
      </c>
      <c r="BB189" s="14"/>
      <c r="BC189" s="28"/>
    </row>
    <row r="190" spans="1:55" ht="42.6" x14ac:dyDescent="0.4">
      <c r="A190" s="15">
        <v>189</v>
      </c>
      <c r="B190" s="16">
        <v>80433</v>
      </c>
      <c r="C190" s="17" t="s">
        <v>332</v>
      </c>
      <c r="D190" s="16"/>
      <c r="E190" s="16" t="s">
        <v>347</v>
      </c>
      <c r="F190" s="16">
        <v>30</v>
      </c>
      <c r="G190" s="16">
        <v>29</v>
      </c>
      <c r="H190" s="18">
        <f t="shared" si="7"/>
        <v>1</v>
      </c>
      <c r="I190" s="19">
        <f t="shared" si="1"/>
        <v>733.33333333333337</v>
      </c>
      <c r="J190" s="16">
        <v>0</v>
      </c>
      <c r="K190" s="20">
        <v>0</v>
      </c>
      <c r="L190" s="21"/>
      <c r="M190" s="21"/>
      <c r="N190" s="16">
        <v>0</v>
      </c>
      <c r="O190" s="16">
        <v>0</v>
      </c>
      <c r="P190" s="16">
        <v>1</v>
      </c>
      <c r="Q190" s="16">
        <v>0</v>
      </c>
      <c r="R190" s="16">
        <v>0</v>
      </c>
      <c r="S190" s="22">
        <v>22000</v>
      </c>
      <c r="T190" s="19">
        <f t="shared" si="2"/>
        <v>0</v>
      </c>
      <c r="U190" s="19">
        <f t="shared" si="3"/>
        <v>21267</v>
      </c>
      <c r="V190" s="22">
        <v>21267</v>
      </c>
      <c r="W190" s="31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v>0</v>
      </c>
      <c r="AG190" s="22">
        <v>0</v>
      </c>
      <c r="AH190" s="22">
        <v>0</v>
      </c>
      <c r="AI190" s="22">
        <v>0</v>
      </c>
      <c r="AJ190" s="22">
        <v>0</v>
      </c>
      <c r="AK190" s="22">
        <v>0</v>
      </c>
      <c r="AL190" s="22">
        <v>0</v>
      </c>
      <c r="AM190" s="22">
        <v>0</v>
      </c>
      <c r="AN190" s="22">
        <v>0</v>
      </c>
      <c r="AO190" s="22">
        <v>0</v>
      </c>
      <c r="AP190" s="22">
        <v>0</v>
      </c>
      <c r="AQ190" s="22">
        <v>0</v>
      </c>
      <c r="AR190" s="22">
        <v>0</v>
      </c>
      <c r="AS190" s="22">
        <v>0</v>
      </c>
      <c r="AT190" s="22">
        <v>0</v>
      </c>
      <c r="AU190" s="19">
        <f t="shared" si="4"/>
        <v>0</v>
      </c>
      <c r="AV190" s="22">
        <v>21266.67</v>
      </c>
      <c r="AW190" s="24" t="s">
        <v>54</v>
      </c>
      <c r="AX190" s="25">
        <v>45789</v>
      </c>
      <c r="AY190" s="15"/>
      <c r="AZ190" s="26"/>
      <c r="BA190" s="27">
        <f t="shared" si="8"/>
        <v>-3.3333333303744439E-3</v>
      </c>
      <c r="BB190" s="14"/>
      <c r="BC190" s="28"/>
    </row>
    <row r="191" spans="1:55" ht="28.8" x14ac:dyDescent="0.4">
      <c r="A191" s="15">
        <v>190</v>
      </c>
      <c r="B191" s="16">
        <v>80475</v>
      </c>
      <c r="C191" s="17" t="s">
        <v>332</v>
      </c>
      <c r="D191" s="16" t="s">
        <v>125</v>
      </c>
      <c r="E191" s="16" t="s">
        <v>348</v>
      </c>
      <c r="F191" s="16">
        <v>30</v>
      </c>
      <c r="G191" s="16">
        <v>29</v>
      </c>
      <c r="H191" s="18">
        <f t="shared" si="7"/>
        <v>1</v>
      </c>
      <c r="I191" s="19">
        <f t="shared" si="1"/>
        <v>833.33333333333337</v>
      </c>
      <c r="J191" s="16">
        <v>0</v>
      </c>
      <c r="K191" s="20">
        <v>0</v>
      </c>
      <c r="L191" s="21"/>
      <c r="M191" s="21"/>
      <c r="N191" s="16">
        <v>0</v>
      </c>
      <c r="O191" s="16">
        <v>0</v>
      </c>
      <c r="P191" s="16">
        <v>1</v>
      </c>
      <c r="Q191" s="16">
        <v>0</v>
      </c>
      <c r="R191" s="16">
        <v>0</v>
      </c>
      <c r="S191" s="22">
        <v>25000</v>
      </c>
      <c r="T191" s="19">
        <f t="shared" si="2"/>
        <v>0</v>
      </c>
      <c r="U191" s="19">
        <f t="shared" si="3"/>
        <v>24167</v>
      </c>
      <c r="V191" s="22">
        <v>24167</v>
      </c>
      <c r="W191" s="31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  <c r="AH191" s="22">
        <v>0</v>
      </c>
      <c r="AI191" s="22">
        <v>0</v>
      </c>
      <c r="AJ191" s="22">
        <v>0</v>
      </c>
      <c r="AK191" s="22">
        <v>0</v>
      </c>
      <c r="AL191" s="22">
        <v>0</v>
      </c>
      <c r="AM191" s="22">
        <v>0</v>
      </c>
      <c r="AN191" s="22">
        <v>0</v>
      </c>
      <c r="AO191" s="22">
        <v>0</v>
      </c>
      <c r="AP191" s="22">
        <v>0</v>
      </c>
      <c r="AQ191" s="22">
        <v>0</v>
      </c>
      <c r="AR191" s="22">
        <v>0</v>
      </c>
      <c r="AS191" s="22">
        <v>0</v>
      </c>
      <c r="AT191" s="22">
        <v>0</v>
      </c>
      <c r="AU191" s="19">
        <f t="shared" si="4"/>
        <v>0</v>
      </c>
      <c r="AV191" s="22">
        <v>24166.67</v>
      </c>
      <c r="AW191" s="24" t="s">
        <v>54</v>
      </c>
      <c r="AX191" s="25">
        <v>45789</v>
      </c>
      <c r="AY191" s="15"/>
      <c r="AZ191" s="26"/>
      <c r="BA191" s="27">
        <f t="shared" si="8"/>
        <v>-3.3333333303744439E-3</v>
      </c>
      <c r="BB191" s="14"/>
      <c r="BC191" s="28"/>
    </row>
    <row r="192" spans="1:55" ht="42.6" x14ac:dyDescent="0.4">
      <c r="A192" s="15">
        <v>191</v>
      </c>
      <c r="B192" s="16">
        <v>80800</v>
      </c>
      <c r="C192" s="17" t="s">
        <v>332</v>
      </c>
      <c r="D192" s="16" t="s">
        <v>194</v>
      </c>
      <c r="E192" s="16" t="s">
        <v>349</v>
      </c>
      <c r="F192" s="16">
        <v>30</v>
      </c>
      <c r="G192" s="16">
        <v>12</v>
      </c>
      <c r="H192" s="18">
        <f t="shared" si="7"/>
        <v>18</v>
      </c>
      <c r="I192" s="19">
        <f t="shared" si="1"/>
        <v>9000</v>
      </c>
      <c r="J192" s="16">
        <v>0</v>
      </c>
      <c r="K192" s="20">
        <v>0</v>
      </c>
      <c r="L192" s="21"/>
      <c r="M192" s="21"/>
      <c r="N192" s="16">
        <v>0</v>
      </c>
      <c r="O192" s="16">
        <v>0</v>
      </c>
      <c r="P192" s="16">
        <v>0</v>
      </c>
      <c r="Q192" s="16">
        <v>0</v>
      </c>
      <c r="R192" s="16">
        <v>18</v>
      </c>
      <c r="S192" s="22">
        <v>15000</v>
      </c>
      <c r="T192" s="19">
        <f t="shared" si="2"/>
        <v>0</v>
      </c>
      <c r="U192" s="19">
        <f t="shared" si="3"/>
        <v>6000</v>
      </c>
      <c r="V192" s="22">
        <v>6000</v>
      </c>
      <c r="W192" s="31">
        <v>0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  <c r="AH192" s="22">
        <v>0</v>
      </c>
      <c r="AI192" s="22">
        <v>0</v>
      </c>
      <c r="AJ192" s="22">
        <v>0</v>
      </c>
      <c r="AK192" s="22">
        <v>0</v>
      </c>
      <c r="AL192" s="22">
        <v>0</v>
      </c>
      <c r="AM192" s="22">
        <v>0</v>
      </c>
      <c r="AN192" s="22">
        <v>0</v>
      </c>
      <c r="AO192" s="22">
        <v>0</v>
      </c>
      <c r="AP192" s="22">
        <v>0</v>
      </c>
      <c r="AQ192" s="22">
        <v>0</v>
      </c>
      <c r="AR192" s="22">
        <v>0</v>
      </c>
      <c r="AS192" s="22">
        <v>0</v>
      </c>
      <c r="AT192" s="22">
        <v>0</v>
      </c>
      <c r="AU192" s="19">
        <f t="shared" si="4"/>
        <v>0</v>
      </c>
      <c r="AV192" s="22">
        <v>6000</v>
      </c>
      <c r="AW192" s="24" t="s">
        <v>54</v>
      </c>
      <c r="AX192" s="25">
        <v>45789</v>
      </c>
      <c r="AY192" s="15"/>
      <c r="AZ192" s="26"/>
      <c r="BA192" s="27">
        <f t="shared" si="8"/>
        <v>0</v>
      </c>
      <c r="BB192" s="14"/>
      <c r="BC192" s="28"/>
    </row>
    <row r="193" spans="1:55" ht="28.8" x14ac:dyDescent="0.4">
      <c r="A193" s="15">
        <v>192</v>
      </c>
      <c r="B193" s="16">
        <v>17002</v>
      </c>
      <c r="C193" s="17" t="s">
        <v>350</v>
      </c>
      <c r="D193" s="16" t="s">
        <v>351</v>
      </c>
      <c r="E193" s="16" t="s">
        <v>352</v>
      </c>
      <c r="F193" s="16">
        <v>30</v>
      </c>
      <c r="G193" s="16">
        <v>30</v>
      </c>
      <c r="H193" s="18">
        <f t="shared" si="7"/>
        <v>0</v>
      </c>
      <c r="I193" s="19">
        <f t="shared" si="1"/>
        <v>0</v>
      </c>
      <c r="J193" s="16">
        <v>3</v>
      </c>
      <c r="K193" s="33">
        <v>1</v>
      </c>
      <c r="L193" s="21"/>
      <c r="M193" s="21"/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22">
        <v>71500</v>
      </c>
      <c r="T193" s="19">
        <f t="shared" si="2"/>
        <v>2383.3333333333335</v>
      </c>
      <c r="U193" s="19">
        <f t="shared" si="3"/>
        <v>71500</v>
      </c>
      <c r="V193" s="22">
        <v>64350</v>
      </c>
      <c r="W193" s="31">
        <f>4767+2383</f>
        <v>7150</v>
      </c>
      <c r="X193" s="22"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v>10000</v>
      </c>
      <c r="AG193" s="22">
        <v>0</v>
      </c>
      <c r="AH193" s="22">
        <v>0</v>
      </c>
      <c r="AI193" s="22">
        <v>0</v>
      </c>
      <c r="AJ193" s="22">
        <v>0</v>
      </c>
      <c r="AK193" s="22">
        <v>0</v>
      </c>
      <c r="AL193" s="22">
        <v>0</v>
      </c>
      <c r="AM193" s="22">
        <v>0</v>
      </c>
      <c r="AN193" s="22">
        <v>0</v>
      </c>
      <c r="AO193" s="22">
        <v>0</v>
      </c>
      <c r="AP193" s="22">
        <v>0</v>
      </c>
      <c r="AQ193" s="22">
        <v>0</v>
      </c>
      <c r="AR193" s="22">
        <v>0</v>
      </c>
      <c r="AS193" s="22">
        <v>0</v>
      </c>
      <c r="AT193" s="22">
        <v>0</v>
      </c>
      <c r="AU193" s="19">
        <f t="shared" si="4"/>
        <v>10000</v>
      </c>
      <c r="AV193" s="22">
        <f>59116.67+2383</f>
        <v>61499.67</v>
      </c>
      <c r="AW193" s="29" t="s">
        <v>54</v>
      </c>
      <c r="AX193" s="25">
        <v>45789</v>
      </c>
      <c r="AY193" s="15"/>
      <c r="AZ193" s="26"/>
      <c r="BA193" s="27">
        <f t="shared" si="8"/>
        <v>-2383.0033333333267</v>
      </c>
      <c r="BB193" s="14"/>
      <c r="BC193" s="28"/>
    </row>
    <row r="194" spans="1:55" ht="28.8" x14ac:dyDescent="0.4">
      <c r="A194" s="15">
        <v>193</v>
      </c>
      <c r="B194" s="16">
        <v>28024</v>
      </c>
      <c r="C194" s="17" t="s">
        <v>350</v>
      </c>
      <c r="D194" s="16" t="s">
        <v>353</v>
      </c>
      <c r="E194" s="16" t="s">
        <v>354</v>
      </c>
      <c r="F194" s="16">
        <v>30</v>
      </c>
      <c r="G194" s="16">
        <v>11</v>
      </c>
      <c r="H194" s="18">
        <f t="shared" si="7"/>
        <v>19</v>
      </c>
      <c r="I194" s="19">
        <f t="shared" si="1"/>
        <v>22166.666666666668</v>
      </c>
      <c r="J194" s="16">
        <v>0</v>
      </c>
      <c r="K194" s="20">
        <v>0</v>
      </c>
      <c r="L194" s="21"/>
      <c r="M194" s="21"/>
      <c r="N194" s="16">
        <v>0</v>
      </c>
      <c r="O194" s="16">
        <v>0</v>
      </c>
      <c r="P194" s="16">
        <v>0</v>
      </c>
      <c r="Q194" s="16">
        <v>0</v>
      </c>
      <c r="R194" s="16">
        <v>19</v>
      </c>
      <c r="S194" s="22">
        <v>35000</v>
      </c>
      <c r="T194" s="19">
        <f t="shared" si="2"/>
        <v>0</v>
      </c>
      <c r="U194" s="19">
        <f t="shared" si="3"/>
        <v>12833</v>
      </c>
      <c r="V194" s="22">
        <v>12833</v>
      </c>
      <c r="W194" s="31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>
        <v>0</v>
      </c>
      <c r="AG194" s="22">
        <v>0</v>
      </c>
      <c r="AH194" s="22">
        <v>0</v>
      </c>
      <c r="AI194" s="22">
        <v>0</v>
      </c>
      <c r="AJ194" s="22">
        <v>0</v>
      </c>
      <c r="AK194" s="22">
        <v>0</v>
      </c>
      <c r="AL194" s="22">
        <v>0</v>
      </c>
      <c r="AM194" s="22">
        <v>0</v>
      </c>
      <c r="AN194" s="22">
        <v>0</v>
      </c>
      <c r="AO194" s="22">
        <v>0</v>
      </c>
      <c r="AP194" s="22">
        <v>0</v>
      </c>
      <c r="AQ194" s="22">
        <v>0</v>
      </c>
      <c r="AR194" s="22">
        <v>0</v>
      </c>
      <c r="AS194" s="22">
        <v>0</v>
      </c>
      <c r="AT194" s="22">
        <v>0</v>
      </c>
      <c r="AU194" s="19">
        <f t="shared" si="4"/>
        <v>0</v>
      </c>
      <c r="AV194" s="22">
        <v>12833.33</v>
      </c>
      <c r="AW194" s="24"/>
      <c r="AX194" s="34"/>
      <c r="AY194" s="15"/>
      <c r="AZ194" s="26"/>
      <c r="BA194" s="27">
        <f t="shared" si="8"/>
        <v>3.3333333340124227E-3</v>
      </c>
      <c r="BB194" s="14"/>
      <c r="BC194" s="28"/>
    </row>
    <row r="195" spans="1:55" ht="42.6" x14ac:dyDescent="0.4">
      <c r="A195" s="15">
        <v>194</v>
      </c>
      <c r="B195" s="16">
        <v>80556</v>
      </c>
      <c r="C195" s="17" t="s">
        <v>350</v>
      </c>
      <c r="D195" s="16" t="s">
        <v>125</v>
      </c>
      <c r="E195" s="16" t="s">
        <v>355</v>
      </c>
      <c r="F195" s="16">
        <v>30</v>
      </c>
      <c r="G195" s="16">
        <v>30</v>
      </c>
      <c r="H195" s="18">
        <f t="shared" si="7"/>
        <v>0</v>
      </c>
      <c r="I195" s="19">
        <f t="shared" si="1"/>
        <v>0</v>
      </c>
      <c r="J195" s="16">
        <v>0</v>
      </c>
      <c r="K195" s="20">
        <v>0</v>
      </c>
      <c r="L195" s="21"/>
      <c r="M195" s="21"/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22">
        <v>25000</v>
      </c>
      <c r="T195" s="19">
        <f t="shared" si="2"/>
        <v>0</v>
      </c>
      <c r="U195" s="19">
        <f t="shared" si="3"/>
        <v>25000</v>
      </c>
      <c r="V195" s="22">
        <v>25000</v>
      </c>
      <c r="W195" s="31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525</v>
      </c>
      <c r="AD195" s="22">
        <v>0</v>
      </c>
      <c r="AE195" s="22">
        <v>0</v>
      </c>
      <c r="AF195" s="22">
        <v>4000</v>
      </c>
      <c r="AG195" s="22">
        <v>0</v>
      </c>
      <c r="AH195" s="22">
        <v>0</v>
      </c>
      <c r="AI195" s="22">
        <v>0</v>
      </c>
      <c r="AJ195" s="22">
        <v>0</v>
      </c>
      <c r="AK195" s="22">
        <v>0</v>
      </c>
      <c r="AL195" s="22">
        <v>0</v>
      </c>
      <c r="AM195" s="22">
        <v>0</v>
      </c>
      <c r="AN195" s="22">
        <v>0</v>
      </c>
      <c r="AO195" s="22">
        <v>0</v>
      </c>
      <c r="AP195" s="22">
        <v>0</v>
      </c>
      <c r="AQ195" s="22">
        <v>0</v>
      </c>
      <c r="AR195" s="22">
        <v>0</v>
      </c>
      <c r="AS195" s="22">
        <v>0</v>
      </c>
      <c r="AT195" s="22">
        <v>0</v>
      </c>
      <c r="AU195" s="19">
        <f t="shared" si="4"/>
        <v>4525</v>
      </c>
      <c r="AV195" s="22">
        <v>20475</v>
      </c>
      <c r="AW195" s="24" t="s">
        <v>54</v>
      </c>
      <c r="AX195" s="25">
        <v>45789</v>
      </c>
      <c r="AY195" s="15"/>
      <c r="AZ195" s="26"/>
      <c r="BA195" s="27">
        <f t="shared" si="8"/>
        <v>0</v>
      </c>
      <c r="BB195" s="14"/>
      <c r="BC195" s="28"/>
    </row>
    <row r="196" spans="1:55" ht="28.8" x14ac:dyDescent="0.4">
      <c r="A196" s="15">
        <v>195</v>
      </c>
      <c r="B196" s="16">
        <v>22236</v>
      </c>
      <c r="C196" s="17" t="s">
        <v>356</v>
      </c>
      <c r="D196" s="16" t="s">
        <v>357</v>
      </c>
      <c r="E196" s="16" t="s">
        <v>358</v>
      </c>
      <c r="F196" s="16">
        <v>30</v>
      </c>
      <c r="G196" s="16">
        <v>24</v>
      </c>
      <c r="H196" s="18">
        <f t="shared" si="7"/>
        <v>6</v>
      </c>
      <c r="I196" s="19">
        <f t="shared" si="1"/>
        <v>5000</v>
      </c>
      <c r="J196" s="16">
        <v>9</v>
      </c>
      <c r="K196" s="20">
        <v>4</v>
      </c>
      <c r="L196" s="21"/>
      <c r="M196" s="21"/>
      <c r="N196" s="16">
        <v>0</v>
      </c>
      <c r="O196" s="16">
        <v>0</v>
      </c>
      <c r="P196" s="16">
        <v>0</v>
      </c>
      <c r="Q196" s="16">
        <v>0</v>
      </c>
      <c r="R196" s="16">
        <v>6</v>
      </c>
      <c r="S196" s="22">
        <v>25000</v>
      </c>
      <c r="T196" s="19">
        <f t="shared" si="2"/>
        <v>3333.3333333333335</v>
      </c>
      <c r="U196" s="19">
        <f t="shared" si="3"/>
        <v>16667</v>
      </c>
      <c r="V196" s="22">
        <v>12500</v>
      </c>
      <c r="W196" s="31">
        <v>4167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1153</v>
      </c>
      <c r="AD196" s="22">
        <v>0</v>
      </c>
      <c r="AE196" s="22">
        <v>0</v>
      </c>
      <c r="AF196" s="22">
        <v>4000</v>
      </c>
      <c r="AG196" s="22">
        <v>0</v>
      </c>
      <c r="AH196" s="22">
        <v>0</v>
      </c>
      <c r="AI196" s="22">
        <v>0</v>
      </c>
      <c r="AJ196" s="22">
        <v>0</v>
      </c>
      <c r="AK196" s="22">
        <v>0</v>
      </c>
      <c r="AL196" s="22">
        <v>0</v>
      </c>
      <c r="AM196" s="22">
        <v>0</v>
      </c>
      <c r="AN196" s="22">
        <v>0</v>
      </c>
      <c r="AO196" s="22">
        <v>0</v>
      </c>
      <c r="AP196" s="22">
        <v>0</v>
      </c>
      <c r="AQ196" s="22">
        <v>0</v>
      </c>
      <c r="AR196" s="22">
        <v>0</v>
      </c>
      <c r="AS196" s="22">
        <v>0</v>
      </c>
      <c r="AT196" s="22">
        <v>0</v>
      </c>
      <c r="AU196" s="19">
        <f t="shared" si="4"/>
        <v>5153</v>
      </c>
      <c r="AV196" s="22">
        <v>11513.67</v>
      </c>
      <c r="AW196" s="24" t="s">
        <v>54</v>
      </c>
      <c r="AX196" s="25">
        <v>45789</v>
      </c>
      <c r="AY196" s="15"/>
      <c r="AZ196" s="26"/>
      <c r="BA196" s="27">
        <f t="shared" si="8"/>
        <v>-3.3333333321934333E-3</v>
      </c>
      <c r="BB196" s="14"/>
      <c r="BC196" s="28"/>
    </row>
    <row r="197" spans="1:55" ht="28.8" x14ac:dyDescent="0.4">
      <c r="A197" s="15">
        <v>196</v>
      </c>
      <c r="B197" s="16">
        <v>80461</v>
      </c>
      <c r="C197" s="17" t="s">
        <v>356</v>
      </c>
      <c r="D197" s="16" t="s">
        <v>359</v>
      </c>
      <c r="E197" s="16" t="s">
        <v>360</v>
      </c>
      <c r="F197" s="16">
        <v>30</v>
      </c>
      <c r="G197" s="16">
        <v>29</v>
      </c>
      <c r="H197" s="18">
        <f t="shared" si="7"/>
        <v>1</v>
      </c>
      <c r="I197" s="19">
        <f t="shared" si="1"/>
        <v>666.66666666666663</v>
      </c>
      <c r="J197" s="16">
        <v>10</v>
      </c>
      <c r="K197" s="20">
        <v>5</v>
      </c>
      <c r="L197" s="21"/>
      <c r="M197" s="21"/>
      <c r="N197" s="16">
        <v>0</v>
      </c>
      <c r="O197" s="16">
        <v>0</v>
      </c>
      <c r="P197" s="16">
        <v>1</v>
      </c>
      <c r="Q197" s="16">
        <v>0</v>
      </c>
      <c r="R197" s="16">
        <v>0</v>
      </c>
      <c r="S197" s="22">
        <v>20000</v>
      </c>
      <c r="T197" s="19">
        <f t="shared" si="2"/>
        <v>3333.333333333333</v>
      </c>
      <c r="U197" s="19">
        <f t="shared" si="3"/>
        <v>16000</v>
      </c>
      <c r="V197" s="22">
        <v>12667</v>
      </c>
      <c r="W197" s="31">
        <v>3333</v>
      </c>
      <c r="X197" s="22"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3000</v>
      </c>
      <c r="AG197" s="22">
        <v>0</v>
      </c>
      <c r="AH197" s="22">
        <v>0</v>
      </c>
      <c r="AI197" s="22">
        <v>0</v>
      </c>
      <c r="AJ197" s="22">
        <v>0</v>
      </c>
      <c r="AK197" s="22">
        <v>0</v>
      </c>
      <c r="AL197" s="22">
        <v>0</v>
      </c>
      <c r="AM197" s="22">
        <v>0</v>
      </c>
      <c r="AN197" s="22">
        <v>0</v>
      </c>
      <c r="AO197" s="22">
        <v>0</v>
      </c>
      <c r="AP197" s="22">
        <v>0</v>
      </c>
      <c r="AQ197" s="22">
        <v>0</v>
      </c>
      <c r="AR197" s="22">
        <v>0</v>
      </c>
      <c r="AS197" s="22">
        <v>0</v>
      </c>
      <c r="AT197" s="22">
        <v>0</v>
      </c>
      <c r="AU197" s="19">
        <f t="shared" si="4"/>
        <v>3000</v>
      </c>
      <c r="AV197" s="22">
        <v>13000</v>
      </c>
      <c r="AW197" s="24" t="s">
        <v>54</v>
      </c>
      <c r="AX197" s="25">
        <v>45789</v>
      </c>
      <c r="AY197" s="15"/>
      <c r="AZ197" s="26"/>
      <c r="BA197" s="27">
        <f t="shared" si="8"/>
        <v>0</v>
      </c>
      <c r="BB197" s="14"/>
      <c r="BC197" s="28"/>
    </row>
    <row r="198" spans="1:55" ht="28.8" x14ac:dyDescent="0.4">
      <c r="A198" s="15">
        <v>197</v>
      </c>
      <c r="B198" s="16">
        <v>80802</v>
      </c>
      <c r="C198" s="17" t="s">
        <v>356</v>
      </c>
      <c r="D198" s="16" t="s">
        <v>176</v>
      </c>
      <c r="E198" s="16" t="s">
        <v>361</v>
      </c>
      <c r="F198" s="16">
        <v>30</v>
      </c>
      <c r="G198" s="16">
        <v>11</v>
      </c>
      <c r="H198" s="18">
        <f t="shared" si="7"/>
        <v>19</v>
      </c>
      <c r="I198" s="19">
        <f t="shared" si="1"/>
        <v>9500</v>
      </c>
      <c r="J198" s="16">
        <v>0</v>
      </c>
      <c r="K198" s="20">
        <v>0</v>
      </c>
      <c r="L198" s="21"/>
      <c r="M198" s="21"/>
      <c r="N198" s="16">
        <v>0</v>
      </c>
      <c r="O198" s="16">
        <v>0</v>
      </c>
      <c r="P198" s="16">
        <v>0</v>
      </c>
      <c r="Q198" s="16">
        <v>0</v>
      </c>
      <c r="R198" s="16">
        <v>19</v>
      </c>
      <c r="S198" s="22">
        <v>15000</v>
      </c>
      <c r="T198" s="19">
        <f t="shared" si="2"/>
        <v>0</v>
      </c>
      <c r="U198" s="19">
        <f t="shared" si="3"/>
        <v>5500</v>
      </c>
      <c r="V198" s="22">
        <v>5500</v>
      </c>
      <c r="W198" s="31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  <c r="AH198" s="22">
        <v>0</v>
      </c>
      <c r="AI198" s="22">
        <v>0</v>
      </c>
      <c r="AJ198" s="22">
        <v>0</v>
      </c>
      <c r="AK198" s="22">
        <v>0</v>
      </c>
      <c r="AL198" s="22">
        <v>0</v>
      </c>
      <c r="AM198" s="22">
        <v>0</v>
      </c>
      <c r="AN198" s="22">
        <v>0</v>
      </c>
      <c r="AO198" s="22">
        <v>0</v>
      </c>
      <c r="AP198" s="22">
        <v>0</v>
      </c>
      <c r="AQ198" s="22">
        <v>0</v>
      </c>
      <c r="AR198" s="22">
        <v>0</v>
      </c>
      <c r="AS198" s="22">
        <v>0</v>
      </c>
      <c r="AT198" s="22">
        <v>0</v>
      </c>
      <c r="AU198" s="19">
        <f t="shared" si="4"/>
        <v>0</v>
      </c>
      <c r="AV198" s="22">
        <v>5500</v>
      </c>
      <c r="AW198" s="24" t="s">
        <v>54</v>
      </c>
      <c r="AX198" s="25">
        <v>45789</v>
      </c>
      <c r="AY198" s="15"/>
      <c r="AZ198" s="26"/>
      <c r="BA198" s="27">
        <f t="shared" si="8"/>
        <v>0</v>
      </c>
      <c r="BB198" s="14"/>
      <c r="BC198" s="28"/>
    </row>
    <row r="199" spans="1:55" ht="28.8" x14ac:dyDescent="0.4">
      <c r="A199" s="15">
        <v>198</v>
      </c>
      <c r="B199" s="36">
        <v>80713</v>
      </c>
      <c r="C199" s="37" t="s">
        <v>362</v>
      </c>
      <c r="D199" s="36" t="s">
        <v>221</v>
      </c>
      <c r="E199" s="36" t="s">
        <v>363</v>
      </c>
      <c r="F199" s="16">
        <v>30</v>
      </c>
      <c r="G199" s="16">
        <v>30</v>
      </c>
      <c r="H199" s="18">
        <f t="shared" si="7"/>
        <v>0</v>
      </c>
      <c r="I199" s="19">
        <f t="shared" si="1"/>
        <v>0</v>
      </c>
      <c r="J199" s="16">
        <v>0</v>
      </c>
      <c r="K199" s="20">
        <v>0</v>
      </c>
      <c r="L199" s="21"/>
      <c r="M199" s="21"/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22">
        <v>16000</v>
      </c>
      <c r="T199" s="19">
        <f t="shared" si="2"/>
        <v>0</v>
      </c>
      <c r="U199" s="19">
        <f t="shared" si="3"/>
        <v>16000</v>
      </c>
      <c r="V199" s="22">
        <v>16000</v>
      </c>
      <c r="W199" s="31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v>0</v>
      </c>
      <c r="AG199" s="22">
        <v>0</v>
      </c>
      <c r="AH199" s="22">
        <v>0</v>
      </c>
      <c r="AI199" s="22">
        <v>1050</v>
      </c>
      <c r="AJ199" s="22">
        <v>0</v>
      </c>
      <c r="AK199" s="22">
        <v>0</v>
      </c>
      <c r="AL199" s="22">
        <v>0</v>
      </c>
      <c r="AM199" s="22">
        <v>0</v>
      </c>
      <c r="AN199" s="22">
        <v>0</v>
      </c>
      <c r="AO199" s="22">
        <v>0</v>
      </c>
      <c r="AP199" s="22">
        <v>0</v>
      </c>
      <c r="AQ199" s="22">
        <v>0</v>
      </c>
      <c r="AR199" s="22">
        <v>0</v>
      </c>
      <c r="AS199" s="22">
        <v>0</v>
      </c>
      <c r="AT199" s="22">
        <v>0</v>
      </c>
      <c r="AU199" s="19">
        <f t="shared" si="4"/>
        <v>1050</v>
      </c>
      <c r="AV199" s="22">
        <f>13900+1050</f>
        <v>14950</v>
      </c>
      <c r="AW199" s="24" t="s">
        <v>54</v>
      </c>
      <c r="AX199" s="34"/>
      <c r="AY199" s="15"/>
      <c r="AZ199" s="26"/>
      <c r="BA199" s="27">
        <f t="shared" si="8"/>
        <v>1.8189894035458565E-12</v>
      </c>
      <c r="BB199" s="14"/>
      <c r="BC199" s="28"/>
    </row>
    <row r="200" spans="1:55" ht="28.8" x14ac:dyDescent="0.4">
      <c r="A200" s="15">
        <v>199</v>
      </c>
      <c r="B200" s="16">
        <v>80727</v>
      </c>
      <c r="C200" s="17" t="s">
        <v>362</v>
      </c>
      <c r="D200" s="16" t="s">
        <v>221</v>
      </c>
      <c r="E200" s="16" t="s">
        <v>364</v>
      </c>
      <c r="F200" s="16">
        <v>30</v>
      </c>
      <c r="G200" s="16">
        <v>15</v>
      </c>
      <c r="H200" s="18">
        <f t="shared" si="7"/>
        <v>15</v>
      </c>
      <c r="I200" s="19">
        <f t="shared" si="1"/>
        <v>8000.0000000000009</v>
      </c>
      <c r="J200" s="16">
        <v>0</v>
      </c>
      <c r="K200" s="20">
        <v>0</v>
      </c>
      <c r="L200" s="21"/>
      <c r="M200" s="21"/>
      <c r="N200" s="16">
        <v>0</v>
      </c>
      <c r="O200" s="16">
        <v>0</v>
      </c>
      <c r="P200" s="16">
        <v>0</v>
      </c>
      <c r="Q200" s="16">
        <v>0</v>
      </c>
      <c r="R200" s="16">
        <v>15</v>
      </c>
      <c r="S200" s="22">
        <v>16000</v>
      </c>
      <c r="T200" s="19">
        <f t="shared" si="2"/>
        <v>0</v>
      </c>
      <c r="U200" s="19">
        <f t="shared" si="3"/>
        <v>8000</v>
      </c>
      <c r="V200" s="22">
        <v>8000</v>
      </c>
      <c r="W200" s="31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1124</v>
      </c>
      <c r="AD200" s="22">
        <v>0</v>
      </c>
      <c r="AE200" s="22">
        <v>0</v>
      </c>
      <c r="AF200" s="22">
        <v>0</v>
      </c>
      <c r="AG200" s="22">
        <v>0</v>
      </c>
      <c r="AH200" s="22">
        <v>0</v>
      </c>
      <c r="AI200" s="22">
        <v>525</v>
      </c>
      <c r="AJ200" s="22">
        <v>0</v>
      </c>
      <c r="AK200" s="22">
        <v>0</v>
      </c>
      <c r="AL200" s="22">
        <v>0</v>
      </c>
      <c r="AM200" s="22">
        <v>0</v>
      </c>
      <c r="AN200" s="22">
        <v>0</v>
      </c>
      <c r="AO200" s="22">
        <v>0</v>
      </c>
      <c r="AP200" s="22">
        <v>0</v>
      </c>
      <c r="AQ200" s="22">
        <v>0</v>
      </c>
      <c r="AR200" s="22">
        <v>0</v>
      </c>
      <c r="AS200" s="22">
        <v>0</v>
      </c>
      <c r="AT200" s="22">
        <v>0</v>
      </c>
      <c r="AU200" s="19">
        <f t="shared" si="4"/>
        <v>1649</v>
      </c>
      <c r="AV200" s="22">
        <f>6880+595-1124</f>
        <v>6351</v>
      </c>
      <c r="AW200" s="24"/>
      <c r="AX200" s="34">
        <v>-1124</v>
      </c>
      <c r="AY200" s="15"/>
      <c r="AZ200" s="26"/>
      <c r="BA200" s="27">
        <f t="shared" si="8"/>
        <v>9.0949470177292824E-13</v>
      </c>
      <c r="BB200" s="14"/>
      <c r="BC200" s="28"/>
    </row>
    <row r="201" spans="1:55" ht="42.6" x14ac:dyDescent="0.4">
      <c r="A201" s="15">
        <v>200</v>
      </c>
      <c r="B201" s="16">
        <v>80746</v>
      </c>
      <c r="C201" s="17" t="s">
        <v>362</v>
      </c>
      <c r="D201" s="16" t="s">
        <v>221</v>
      </c>
      <c r="E201" s="16" t="s">
        <v>365</v>
      </c>
      <c r="F201" s="16">
        <v>30</v>
      </c>
      <c r="G201" s="16">
        <v>30</v>
      </c>
      <c r="H201" s="18">
        <f t="shared" si="7"/>
        <v>0</v>
      </c>
      <c r="I201" s="19">
        <f t="shared" si="1"/>
        <v>0</v>
      </c>
      <c r="J201" s="16">
        <v>0</v>
      </c>
      <c r="K201" s="20">
        <v>0</v>
      </c>
      <c r="L201" s="21"/>
      <c r="M201" s="21"/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22">
        <v>16000</v>
      </c>
      <c r="T201" s="19">
        <f t="shared" si="2"/>
        <v>0</v>
      </c>
      <c r="U201" s="19">
        <f t="shared" si="3"/>
        <v>16000</v>
      </c>
      <c r="V201" s="22">
        <v>16000</v>
      </c>
      <c r="W201" s="31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  <c r="AH201" s="22">
        <v>0</v>
      </c>
      <c r="AI201" s="22">
        <v>1050</v>
      </c>
      <c r="AJ201" s="22">
        <v>0</v>
      </c>
      <c r="AK201" s="22">
        <v>0</v>
      </c>
      <c r="AL201" s="22">
        <v>0</v>
      </c>
      <c r="AM201" s="22">
        <v>0</v>
      </c>
      <c r="AN201" s="22">
        <v>0</v>
      </c>
      <c r="AO201" s="22">
        <v>0</v>
      </c>
      <c r="AP201" s="22">
        <v>0</v>
      </c>
      <c r="AQ201" s="22">
        <v>0</v>
      </c>
      <c r="AR201" s="22">
        <v>0</v>
      </c>
      <c r="AS201" s="22">
        <v>0</v>
      </c>
      <c r="AT201" s="22">
        <v>0</v>
      </c>
      <c r="AU201" s="19">
        <f t="shared" si="4"/>
        <v>1050</v>
      </c>
      <c r="AV201" s="22">
        <f>13900+1050</f>
        <v>14950</v>
      </c>
      <c r="AW201" s="24" t="s">
        <v>54</v>
      </c>
      <c r="AX201" s="25">
        <v>45789</v>
      </c>
      <c r="AY201" s="15"/>
      <c r="AZ201" s="26"/>
      <c r="BA201" s="27">
        <f t="shared" si="8"/>
        <v>1.8189894035458565E-12</v>
      </c>
      <c r="BB201" s="14"/>
      <c r="BC201" s="28"/>
    </row>
    <row r="202" spans="1:55" ht="42.6" x14ac:dyDescent="0.4">
      <c r="A202" s="15">
        <v>201</v>
      </c>
      <c r="B202" s="16">
        <v>80775</v>
      </c>
      <c r="C202" s="17" t="s">
        <v>362</v>
      </c>
      <c r="D202" s="16" t="s">
        <v>221</v>
      </c>
      <c r="E202" s="16" t="s">
        <v>366</v>
      </c>
      <c r="F202" s="16">
        <v>30</v>
      </c>
      <c r="G202" s="16">
        <v>12</v>
      </c>
      <c r="H202" s="18">
        <f t="shared" si="7"/>
        <v>18</v>
      </c>
      <c r="I202" s="19">
        <f t="shared" si="1"/>
        <v>9600</v>
      </c>
      <c r="J202" s="16">
        <v>0</v>
      </c>
      <c r="K202" s="20">
        <v>0</v>
      </c>
      <c r="L202" s="21"/>
      <c r="M202" s="21"/>
      <c r="N202" s="16">
        <v>0</v>
      </c>
      <c r="O202" s="16">
        <v>0</v>
      </c>
      <c r="P202" s="16">
        <v>0</v>
      </c>
      <c r="Q202" s="16">
        <v>0</v>
      </c>
      <c r="R202" s="16">
        <v>18</v>
      </c>
      <c r="S202" s="22">
        <v>16000</v>
      </c>
      <c r="T202" s="19">
        <f t="shared" si="2"/>
        <v>0</v>
      </c>
      <c r="U202" s="19">
        <f t="shared" si="3"/>
        <v>6400</v>
      </c>
      <c r="V202" s="22">
        <v>6400</v>
      </c>
      <c r="W202" s="31">
        <v>0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  <c r="AH202" s="22">
        <v>0</v>
      </c>
      <c r="AI202" s="22">
        <v>420</v>
      </c>
      <c r="AJ202" s="22">
        <v>0</v>
      </c>
      <c r="AK202" s="22">
        <v>0</v>
      </c>
      <c r="AL202" s="22">
        <v>0</v>
      </c>
      <c r="AM202" s="22">
        <v>0</v>
      </c>
      <c r="AN202" s="22">
        <v>0</v>
      </c>
      <c r="AO202" s="22">
        <v>0</v>
      </c>
      <c r="AP202" s="22">
        <v>0</v>
      </c>
      <c r="AQ202" s="22">
        <v>0</v>
      </c>
      <c r="AR202" s="22">
        <v>0</v>
      </c>
      <c r="AS202" s="22">
        <v>0</v>
      </c>
      <c r="AT202" s="22">
        <v>0</v>
      </c>
      <c r="AU202" s="19">
        <f t="shared" si="4"/>
        <v>420</v>
      </c>
      <c r="AV202" s="22">
        <f>5560+420</f>
        <v>5980</v>
      </c>
      <c r="AW202" s="24" t="s">
        <v>54</v>
      </c>
      <c r="AX202" s="25">
        <v>45789</v>
      </c>
      <c r="AY202" s="15"/>
      <c r="AZ202" s="26"/>
      <c r="BA202" s="27">
        <f t="shared" si="8"/>
        <v>0</v>
      </c>
      <c r="BB202" s="14"/>
      <c r="BC202" s="28"/>
    </row>
    <row r="203" spans="1:55" ht="42.6" x14ac:dyDescent="0.4">
      <c r="A203" s="15">
        <v>202</v>
      </c>
      <c r="B203" s="16">
        <v>80792</v>
      </c>
      <c r="C203" s="17" t="s">
        <v>362</v>
      </c>
      <c r="D203" s="16" t="s">
        <v>221</v>
      </c>
      <c r="E203" s="16" t="s">
        <v>367</v>
      </c>
      <c r="F203" s="16">
        <v>30</v>
      </c>
      <c r="G203" s="16">
        <v>7</v>
      </c>
      <c r="H203" s="18">
        <f t="shared" si="7"/>
        <v>23</v>
      </c>
      <c r="I203" s="19">
        <f t="shared" si="1"/>
        <v>12266.666666666668</v>
      </c>
      <c r="J203" s="16">
        <v>0</v>
      </c>
      <c r="K203" s="20">
        <v>0</v>
      </c>
      <c r="L203" s="21"/>
      <c r="M203" s="21"/>
      <c r="N203" s="16">
        <v>0</v>
      </c>
      <c r="O203" s="16">
        <v>0</v>
      </c>
      <c r="P203" s="16">
        <v>0</v>
      </c>
      <c r="Q203" s="16">
        <v>0</v>
      </c>
      <c r="R203" s="16">
        <v>23</v>
      </c>
      <c r="S203" s="22">
        <v>16000</v>
      </c>
      <c r="T203" s="19">
        <f t="shared" si="2"/>
        <v>0</v>
      </c>
      <c r="U203" s="19">
        <f t="shared" si="3"/>
        <v>3733</v>
      </c>
      <c r="V203" s="22">
        <v>3733</v>
      </c>
      <c r="W203" s="31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  <c r="AH203" s="22">
        <v>0</v>
      </c>
      <c r="AI203" s="22">
        <v>245</v>
      </c>
      <c r="AJ203" s="22">
        <v>0</v>
      </c>
      <c r="AK203" s="22">
        <v>0</v>
      </c>
      <c r="AL203" s="22">
        <v>0</v>
      </c>
      <c r="AM203" s="22">
        <v>0</v>
      </c>
      <c r="AN203" s="22">
        <v>0</v>
      </c>
      <c r="AO203" s="22">
        <v>0</v>
      </c>
      <c r="AP203" s="22">
        <v>0</v>
      </c>
      <c r="AQ203" s="22">
        <v>0</v>
      </c>
      <c r="AR203" s="22">
        <v>0</v>
      </c>
      <c r="AS203" s="22">
        <v>0</v>
      </c>
      <c r="AT203" s="22">
        <v>0</v>
      </c>
      <c r="AU203" s="19">
        <f t="shared" si="4"/>
        <v>245</v>
      </c>
      <c r="AV203" s="22">
        <f>3243.33+245</f>
        <v>3488.33</v>
      </c>
      <c r="AW203" s="24" t="s">
        <v>54</v>
      </c>
      <c r="AX203" s="25">
        <v>45790</v>
      </c>
      <c r="AY203" s="15"/>
      <c r="AZ203" s="26"/>
      <c r="BA203" s="27">
        <f t="shared" si="8"/>
        <v>3.3333333335576754E-3</v>
      </c>
      <c r="BB203" s="14"/>
      <c r="BC203" s="28"/>
    </row>
    <row r="204" spans="1:55" ht="28.8" x14ac:dyDescent="0.4">
      <c r="A204" s="15">
        <v>203</v>
      </c>
      <c r="B204" s="16">
        <v>31001</v>
      </c>
      <c r="C204" s="17" t="s">
        <v>368</v>
      </c>
      <c r="D204" s="16" t="s">
        <v>369</v>
      </c>
      <c r="E204" s="16" t="s">
        <v>370</v>
      </c>
      <c r="F204" s="16">
        <v>30</v>
      </c>
      <c r="G204" s="16">
        <v>30</v>
      </c>
      <c r="H204" s="18">
        <f t="shared" si="7"/>
        <v>0</v>
      </c>
      <c r="I204" s="19">
        <f t="shared" si="1"/>
        <v>0</v>
      </c>
      <c r="J204" s="16">
        <v>0</v>
      </c>
      <c r="K204" s="20">
        <v>0</v>
      </c>
      <c r="L204" s="21"/>
      <c r="M204" s="21"/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22">
        <v>60000</v>
      </c>
      <c r="T204" s="19">
        <f t="shared" si="2"/>
        <v>0</v>
      </c>
      <c r="U204" s="19">
        <f t="shared" si="3"/>
        <v>60000</v>
      </c>
      <c r="V204" s="22">
        <v>60000</v>
      </c>
      <c r="W204" s="31">
        <v>0</v>
      </c>
      <c r="X204" s="22">
        <v>0</v>
      </c>
      <c r="Y204" s="22">
        <v>0</v>
      </c>
      <c r="Z204" s="22">
        <v>0</v>
      </c>
      <c r="AA204" s="22">
        <v>0</v>
      </c>
      <c r="AB204" s="32">
        <v>10000</v>
      </c>
      <c r="AC204" s="22">
        <v>0</v>
      </c>
      <c r="AD204" s="22">
        <v>0</v>
      </c>
      <c r="AE204" s="22">
        <v>0</v>
      </c>
      <c r="AF204" s="22">
        <v>20000</v>
      </c>
      <c r="AG204" s="22">
        <v>0</v>
      </c>
      <c r="AH204" s="22">
        <v>0</v>
      </c>
      <c r="AI204" s="22">
        <v>0</v>
      </c>
      <c r="AJ204" s="22">
        <v>0</v>
      </c>
      <c r="AK204" s="22">
        <v>0</v>
      </c>
      <c r="AL204" s="22">
        <v>0</v>
      </c>
      <c r="AM204" s="22">
        <v>0</v>
      </c>
      <c r="AN204" s="22">
        <v>0</v>
      </c>
      <c r="AO204" s="22">
        <v>0</v>
      </c>
      <c r="AP204" s="22">
        <v>0</v>
      </c>
      <c r="AQ204" s="22">
        <v>0</v>
      </c>
      <c r="AR204" s="22">
        <v>0</v>
      </c>
      <c r="AS204" s="22">
        <v>0</v>
      </c>
      <c r="AT204" s="22">
        <v>0</v>
      </c>
      <c r="AU204" s="19">
        <f t="shared" si="4"/>
        <v>30000</v>
      </c>
      <c r="AV204" s="22">
        <f>40000-10000</f>
        <v>30000</v>
      </c>
      <c r="AW204" s="24" t="s">
        <v>54</v>
      </c>
      <c r="AX204" s="25">
        <v>45790</v>
      </c>
      <c r="AY204" s="15"/>
      <c r="AZ204" s="26"/>
      <c r="BA204" s="27">
        <f t="shared" si="8"/>
        <v>0</v>
      </c>
      <c r="BB204" s="14"/>
      <c r="BC204" s="28"/>
    </row>
    <row r="205" spans="1:55" ht="28.8" x14ac:dyDescent="0.4">
      <c r="A205" s="15">
        <v>204</v>
      </c>
      <c r="B205" s="16">
        <v>34003</v>
      </c>
      <c r="C205" s="17" t="s">
        <v>368</v>
      </c>
      <c r="D205" s="16" t="s">
        <v>371</v>
      </c>
      <c r="E205" s="16" t="s">
        <v>372</v>
      </c>
      <c r="F205" s="16">
        <v>30</v>
      </c>
      <c r="G205" s="16">
        <v>30</v>
      </c>
      <c r="H205" s="18">
        <f t="shared" si="7"/>
        <v>0</v>
      </c>
      <c r="I205" s="19">
        <f t="shared" si="1"/>
        <v>0</v>
      </c>
      <c r="J205" s="16">
        <v>0</v>
      </c>
      <c r="K205" s="20">
        <v>0</v>
      </c>
      <c r="L205" s="21"/>
      <c r="M205" s="21"/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22">
        <v>85000</v>
      </c>
      <c r="T205" s="19">
        <f t="shared" si="2"/>
        <v>0</v>
      </c>
      <c r="U205" s="19">
        <f t="shared" si="3"/>
        <v>85000</v>
      </c>
      <c r="V205" s="22">
        <v>85000</v>
      </c>
      <c r="W205" s="31">
        <v>0</v>
      </c>
      <c r="X205" s="22">
        <v>0</v>
      </c>
      <c r="Y205" s="22">
        <v>0</v>
      </c>
      <c r="Z205" s="22">
        <v>0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F205" s="22">
        <v>0</v>
      </c>
      <c r="AG205" s="22">
        <v>0</v>
      </c>
      <c r="AH205" s="22">
        <v>0</v>
      </c>
      <c r="AI205" s="22">
        <v>0</v>
      </c>
      <c r="AJ205" s="22">
        <v>0</v>
      </c>
      <c r="AK205" s="22">
        <v>0</v>
      </c>
      <c r="AL205" s="22">
        <v>0</v>
      </c>
      <c r="AM205" s="22">
        <v>0</v>
      </c>
      <c r="AN205" s="22">
        <v>0</v>
      </c>
      <c r="AO205" s="22">
        <v>0</v>
      </c>
      <c r="AP205" s="22">
        <v>0</v>
      </c>
      <c r="AQ205" s="22">
        <v>0</v>
      </c>
      <c r="AR205" s="22">
        <v>0</v>
      </c>
      <c r="AS205" s="22">
        <v>0</v>
      </c>
      <c r="AT205" s="22">
        <v>0</v>
      </c>
      <c r="AU205" s="19">
        <f t="shared" si="4"/>
        <v>0</v>
      </c>
      <c r="AV205" s="22">
        <v>85000</v>
      </c>
      <c r="AW205" s="24" t="s">
        <v>54</v>
      </c>
      <c r="AX205" s="25">
        <v>45793</v>
      </c>
      <c r="AY205" s="15"/>
      <c r="AZ205" s="26"/>
      <c r="BA205" s="27">
        <f t="shared" si="8"/>
        <v>0</v>
      </c>
      <c r="BB205" s="14"/>
      <c r="BC205" s="28"/>
    </row>
    <row r="206" spans="1:55" ht="28.8" x14ac:dyDescent="0.4">
      <c r="A206" s="15">
        <v>205</v>
      </c>
      <c r="B206" s="16">
        <v>34007</v>
      </c>
      <c r="C206" s="17" t="s">
        <v>368</v>
      </c>
      <c r="D206" s="16" t="s">
        <v>373</v>
      </c>
      <c r="E206" s="16" t="s">
        <v>374</v>
      </c>
      <c r="F206" s="16">
        <v>30</v>
      </c>
      <c r="G206" s="16">
        <v>30</v>
      </c>
      <c r="H206" s="18">
        <f t="shared" si="7"/>
        <v>0</v>
      </c>
      <c r="I206" s="19">
        <f t="shared" si="1"/>
        <v>0</v>
      </c>
      <c r="J206" s="16">
        <v>1</v>
      </c>
      <c r="K206" s="20">
        <v>0</v>
      </c>
      <c r="L206" s="21"/>
      <c r="M206" s="21"/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22">
        <v>45000</v>
      </c>
      <c r="T206" s="19">
        <f t="shared" si="2"/>
        <v>0</v>
      </c>
      <c r="U206" s="19">
        <f t="shared" si="3"/>
        <v>45000</v>
      </c>
      <c r="V206" s="22">
        <v>43500</v>
      </c>
      <c r="W206" s="31">
        <v>1500</v>
      </c>
      <c r="X206" s="22">
        <v>0</v>
      </c>
      <c r="Y206" s="22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v>5000</v>
      </c>
      <c r="AG206" s="22">
        <v>0</v>
      </c>
      <c r="AH206" s="22">
        <v>0</v>
      </c>
      <c r="AI206" s="22">
        <v>0</v>
      </c>
      <c r="AJ206" s="22">
        <v>0</v>
      </c>
      <c r="AK206" s="22">
        <v>0</v>
      </c>
      <c r="AL206" s="22">
        <v>0</v>
      </c>
      <c r="AM206" s="22">
        <v>0</v>
      </c>
      <c r="AN206" s="22">
        <v>0</v>
      </c>
      <c r="AO206" s="22">
        <v>0</v>
      </c>
      <c r="AP206" s="22">
        <v>0</v>
      </c>
      <c r="AQ206" s="22">
        <v>0</v>
      </c>
      <c r="AR206" s="22">
        <v>0</v>
      </c>
      <c r="AS206" s="22">
        <v>0</v>
      </c>
      <c r="AT206" s="22">
        <v>0</v>
      </c>
      <c r="AU206" s="19">
        <f t="shared" si="4"/>
        <v>5000</v>
      </c>
      <c r="AV206" s="22">
        <v>40000</v>
      </c>
      <c r="AW206" s="24" t="s">
        <v>54</v>
      </c>
      <c r="AX206" s="25">
        <v>45791</v>
      </c>
      <c r="AY206" s="15"/>
      <c r="AZ206" s="26"/>
      <c r="BA206" s="27">
        <f t="shared" si="8"/>
        <v>0</v>
      </c>
      <c r="BB206" s="14"/>
      <c r="BC206" s="28"/>
    </row>
    <row r="207" spans="1:55" ht="28.8" x14ac:dyDescent="0.4">
      <c r="A207" s="15">
        <v>206</v>
      </c>
      <c r="B207" s="16">
        <v>34011</v>
      </c>
      <c r="C207" s="17" t="s">
        <v>368</v>
      </c>
      <c r="D207" s="16" t="s">
        <v>375</v>
      </c>
      <c r="E207" s="16" t="s">
        <v>376</v>
      </c>
      <c r="F207" s="16">
        <v>30</v>
      </c>
      <c r="G207" s="16">
        <v>22</v>
      </c>
      <c r="H207" s="18">
        <f t="shared" si="7"/>
        <v>8</v>
      </c>
      <c r="I207" s="19">
        <f t="shared" si="1"/>
        <v>9333.3333333333339</v>
      </c>
      <c r="J207" s="16">
        <v>1</v>
      </c>
      <c r="K207" s="20">
        <v>0</v>
      </c>
      <c r="L207" s="21"/>
      <c r="M207" s="21"/>
      <c r="N207" s="16">
        <v>0</v>
      </c>
      <c r="O207" s="16">
        <v>0</v>
      </c>
      <c r="P207" s="16">
        <v>0</v>
      </c>
      <c r="Q207" s="16">
        <v>0</v>
      </c>
      <c r="R207" s="16">
        <v>8</v>
      </c>
      <c r="S207" s="22">
        <v>35000</v>
      </c>
      <c r="T207" s="19">
        <f t="shared" si="2"/>
        <v>0</v>
      </c>
      <c r="U207" s="19">
        <f t="shared" si="3"/>
        <v>25667</v>
      </c>
      <c r="V207" s="22">
        <v>24500</v>
      </c>
      <c r="W207" s="31">
        <v>1167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0</v>
      </c>
      <c r="AE207" s="22">
        <v>0</v>
      </c>
      <c r="AF207" s="22">
        <v>10000</v>
      </c>
      <c r="AG207" s="22">
        <v>0</v>
      </c>
      <c r="AH207" s="22">
        <v>0</v>
      </c>
      <c r="AI207" s="22">
        <v>0</v>
      </c>
      <c r="AJ207" s="22">
        <v>0</v>
      </c>
      <c r="AK207" s="22">
        <v>0</v>
      </c>
      <c r="AL207" s="22">
        <v>0</v>
      </c>
      <c r="AM207" s="22">
        <v>0</v>
      </c>
      <c r="AN207" s="22">
        <v>0</v>
      </c>
      <c r="AO207" s="22">
        <v>0</v>
      </c>
      <c r="AP207" s="22">
        <v>0</v>
      </c>
      <c r="AQ207" s="22">
        <v>0</v>
      </c>
      <c r="AR207" s="22">
        <v>0</v>
      </c>
      <c r="AS207" s="22">
        <v>0</v>
      </c>
      <c r="AT207" s="22">
        <v>0</v>
      </c>
      <c r="AU207" s="19">
        <f t="shared" si="4"/>
        <v>10000</v>
      </c>
      <c r="AV207" s="22">
        <v>15666.67</v>
      </c>
      <c r="AW207" s="24" t="s">
        <v>54</v>
      </c>
      <c r="AX207" s="25">
        <v>45791</v>
      </c>
      <c r="AY207" s="15"/>
      <c r="AZ207" s="26"/>
      <c r="BA207" s="27">
        <f t="shared" si="8"/>
        <v>-3.3333333321934333E-3</v>
      </c>
      <c r="BB207" s="14"/>
      <c r="BC207" s="28"/>
    </row>
    <row r="208" spans="1:55" ht="28.8" x14ac:dyDescent="0.4">
      <c r="A208" s="15">
        <v>207</v>
      </c>
      <c r="B208" s="16">
        <v>34021</v>
      </c>
      <c r="C208" s="17" t="s">
        <v>368</v>
      </c>
      <c r="D208" s="16" t="s">
        <v>377</v>
      </c>
      <c r="E208" s="16" t="s">
        <v>378</v>
      </c>
      <c r="F208" s="16">
        <v>30</v>
      </c>
      <c r="G208" s="16">
        <v>22</v>
      </c>
      <c r="H208" s="18">
        <f t="shared" si="7"/>
        <v>8</v>
      </c>
      <c r="I208" s="19">
        <f t="shared" si="1"/>
        <v>8000</v>
      </c>
      <c r="J208" s="16">
        <v>0</v>
      </c>
      <c r="K208" s="20">
        <v>0</v>
      </c>
      <c r="L208" s="21"/>
      <c r="M208" s="21"/>
      <c r="N208" s="16">
        <v>0</v>
      </c>
      <c r="O208" s="16">
        <v>0</v>
      </c>
      <c r="P208" s="16">
        <v>0</v>
      </c>
      <c r="Q208" s="16">
        <v>0</v>
      </c>
      <c r="R208" s="16">
        <v>8</v>
      </c>
      <c r="S208" s="22">
        <v>30000</v>
      </c>
      <c r="T208" s="19">
        <f t="shared" si="2"/>
        <v>0</v>
      </c>
      <c r="U208" s="19">
        <f t="shared" si="3"/>
        <v>22000</v>
      </c>
      <c r="V208" s="22">
        <v>22000</v>
      </c>
      <c r="W208" s="31">
        <v>0</v>
      </c>
      <c r="X208" s="22">
        <v>0</v>
      </c>
      <c r="Y208" s="22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5000</v>
      </c>
      <c r="AG208" s="22">
        <v>0</v>
      </c>
      <c r="AH208" s="22">
        <v>0</v>
      </c>
      <c r="AI208" s="22">
        <v>0</v>
      </c>
      <c r="AJ208" s="22">
        <v>0</v>
      </c>
      <c r="AK208" s="22">
        <v>0</v>
      </c>
      <c r="AL208" s="22">
        <v>0</v>
      </c>
      <c r="AM208" s="22">
        <v>0</v>
      </c>
      <c r="AN208" s="22">
        <v>0</v>
      </c>
      <c r="AO208" s="22">
        <v>0</v>
      </c>
      <c r="AP208" s="22">
        <v>0</v>
      </c>
      <c r="AQ208" s="22">
        <v>0</v>
      </c>
      <c r="AR208" s="22">
        <v>0</v>
      </c>
      <c r="AS208" s="22">
        <v>0</v>
      </c>
      <c r="AT208" s="22">
        <v>0</v>
      </c>
      <c r="AU208" s="19">
        <f t="shared" si="4"/>
        <v>5000</v>
      </c>
      <c r="AV208" s="22">
        <v>17000</v>
      </c>
      <c r="AW208" s="24" t="s">
        <v>54</v>
      </c>
      <c r="AX208" s="25">
        <v>45790</v>
      </c>
      <c r="AY208" s="15"/>
      <c r="AZ208" s="26"/>
      <c r="BA208" s="27">
        <f t="shared" si="8"/>
        <v>0</v>
      </c>
      <c r="BB208" s="14"/>
      <c r="BC208" s="28"/>
    </row>
    <row r="209" spans="1:55" ht="28.8" x14ac:dyDescent="0.4">
      <c r="A209" s="15">
        <v>208</v>
      </c>
      <c r="B209" s="16">
        <v>34025</v>
      </c>
      <c r="C209" s="17" t="s">
        <v>368</v>
      </c>
      <c r="D209" s="16" t="s">
        <v>379</v>
      </c>
      <c r="E209" s="16" t="s">
        <v>380</v>
      </c>
      <c r="F209" s="16">
        <v>30</v>
      </c>
      <c r="G209" s="16">
        <v>27</v>
      </c>
      <c r="H209" s="18">
        <f t="shared" si="7"/>
        <v>3</v>
      </c>
      <c r="I209" s="19">
        <f t="shared" si="1"/>
        <v>3000</v>
      </c>
      <c r="J209" s="16">
        <v>0</v>
      </c>
      <c r="K209" s="20">
        <v>0</v>
      </c>
      <c r="L209" s="21"/>
      <c r="M209" s="21"/>
      <c r="N209" s="16">
        <v>0</v>
      </c>
      <c r="O209" s="16">
        <v>0</v>
      </c>
      <c r="P209" s="16">
        <v>0</v>
      </c>
      <c r="Q209" s="16">
        <v>0</v>
      </c>
      <c r="R209" s="16">
        <v>3</v>
      </c>
      <c r="S209" s="22">
        <v>30000</v>
      </c>
      <c r="T209" s="19">
        <f t="shared" si="2"/>
        <v>0</v>
      </c>
      <c r="U209" s="19">
        <f t="shared" si="3"/>
        <v>27000</v>
      </c>
      <c r="V209" s="22">
        <v>27000</v>
      </c>
      <c r="W209" s="31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5000</v>
      </c>
      <c r="AG209" s="22">
        <v>0</v>
      </c>
      <c r="AH209" s="22">
        <v>0</v>
      </c>
      <c r="AI209" s="22">
        <v>0</v>
      </c>
      <c r="AJ209" s="22">
        <v>0</v>
      </c>
      <c r="AK209" s="22">
        <v>0</v>
      </c>
      <c r="AL209" s="22">
        <v>0</v>
      </c>
      <c r="AM209" s="22">
        <v>0</v>
      </c>
      <c r="AN209" s="22">
        <v>0</v>
      </c>
      <c r="AO209" s="22">
        <v>0</v>
      </c>
      <c r="AP209" s="22">
        <v>0</v>
      </c>
      <c r="AQ209" s="22">
        <v>0</v>
      </c>
      <c r="AR209" s="22">
        <v>0</v>
      </c>
      <c r="AS209" s="22">
        <v>0</v>
      </c>
      <c r="AT209" s="22">
        <v>0</v>
      </c>
      <c r="AU209" s="19">
        <f t="shared" si="4"/>
        <v>5000</v>
      </c>
      <c r="AV209" s="22">
        <v>22000</v>
      </c>
      <c r="AW209" s="24"/>
      <c r="AX209" s="34"/>
      <c r="AY209" s="15"/>
      <c r="AZ209" s="26"/>
      <c r="BA209" s="27">
        <f t="shared" si="8"/>
        <v>0</v>
      </c>
      <c r="BB209" s="14"/>
      <c r="BC209" s="28"/>
    </row>
    <row r="210" spans="1:55" ht="28.8" x14ac:dyDescent="0.4">
      <c r="A210" s="15">
        <v>209</v>
      </c>
      <c r="B210" s="16">
        <v>34028</v>
      </c>
      <c r="C210" s="17" t="s">
        <v>368</v>
      </c>
      <c r="D210" s="16" t="s">
        <v>381</v>
      </c>
      <c r="E210" s="16" t="s">
        <v>382</v>
      </c>
      <c r="F210" s="16">
        <v>30</v>
      </c>
      <c r="G210" s="16">
        <v>30</v>
      </c>
      <c r="H210" s="18">
        <f t="shared" si="7"/>
        <v>0</v>
      </c>
      <c r="I210" s="19">
        <f t="shared" si="1"/>
        <v>0</v>
      </c>
      <c r="J210" s="16">
        <v>0</v>
      </c>
      <c r="K210" s="20">
        <v>0</v>
      </c>
      <c r="L210" s="21"/>
      <c r="M210" s="21"/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22">
        <v>55000</v>
      </c>
      <c r="T210" s="19">
        <f t="shared" si="2"/>
        <v>0</v>
      </c>
      <c r="U210" s="19">
        <f t="shared" si="3"/>
        <v>55000</v>
      </c>
      <c r="V210" s="22">
        <v>55000</v>
      </c>
      <c r="W210" s="31">
        <v>0</v>
      </c>
      <c r="X210" s="22">
        <v>0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  <c r="AH210" s="22">
        <v>0</v>
      </c>
      <c r="AI210" s="22">
        <v>0</v>
      </c>
      <c r="AJ210" s="22">
        <v>0</v>
      </c>
      <c r="AK210" s="22">
        <v>0</v>
      </c>
      <c r="AL210" s="22">
        <v>0</v>
      </c>
      <c r="AM210" s="22">
        <v>0</v>
      </c>
      <c r="AN210" s="22">
        <v>0</v>
      </c>
      <c r="AO210" s="22">
        <v>0</v>
      </c>
      <c r="AP210" s="22">
        <v>0</v>
      </c>
      <c r="AQ210" s="22">
        <v>0</v>
      </c>
      <c r="AR210" s="22">
        <v>0</v>
      </c>
      <c r="AS210" s="22">
        <v>0</v>
      </c>
      <c r="AT210" s="22">
        <v>0</v>
      </c>
      <c r="AU210" s="19">
        <f t="shared" si="4"/>
        <v>0</v>
      </c>
      <c r="AV210" s="22">
        <v>55000</v>
      </c>
      <c r="AW210" s="24" t="s">
        <v>54</v>
      </c>
      <c r="AX210" s="25">
        <v>45792</v>
      </c>
      <c r="AY210" s="15"/>
      <c r="AZ210" s="26"/>
      <c r="BA210" s="27">
        <f t="shared" si="8"/>
        <v>0</v>
      </c>
      <c r="BB210" s="14"/>
      <c r="BC210" s="28"/>
    </row>
    <row r="211" spans="1:55" ht="28.8" x14ac:dyDescent="0.4">
      <c r="A211" s="15">
        <v>210</v>
      </c>
      <c r="B211" s="16">
        <v>80445</v>
      </c>
      <c r="C211" s="17" t="s">
        <v>368</v>
      </c>
      <c r="D211" s="16" t="s">
        <v>383</v>
      </c>
      <c r="E211" s="16" t="s">
        <v>384</v>
      </c>
      <c r="F211" s="16">
        <v>30</v>
      </c>
      <c r="G211" s="16">
        <v>30</v>
      </c>
      <c r="H211" s="18">
        <f t="shared" si="7"/>
        <v>0</v>
      </c>
      <c r="I211" s="19">
        <f t="shared" si="1"/>
        <v>0</v>
      </c>
      <c r="J211" s="16">
        <v>3</v>
      </c>
      <c r="K211" s="33">
        <v>1</v>
      </c>
      <c r="L211" s="21"/>
      <c r="M211" s="21"/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32">
        <v>33000</v>
      </c>
      <c r="T211" s="19">
        <f t="shared" si="2"/>
        <v>1100</v>
      </c>
      <c r="U211" s="19">
        <f t="shared" si="3"/>
        <v>33000</v>
      </c>
      <c r="V211" s="22">
        <v>29700</v>
      </c>
      <c r="W211" s="31">
        <f>2200+1100</f>
        <v>3300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  <c r="AE211" s="22">
        <v>0</v>
      </c>
      <c r="AF211" s="22">
        <v>0</v>
      </c>
      <c r="AG211" s="22">
        <v>0</v>
      </c>
      <c r="AH211" s="22">
        <v>0</v>
      </c>
      <c r="AI211" s="22">
        <v>0</v>
      </c>
      <c r="AJ211" s="22">
        <v>0</v>
      </c>
      <c r="AK211" s="22">
        <v>0</v>
      </c>
      <c r="AL211" s="22">
        <v>0</v>
      </c>
      <c r="AM211" s="22">
        <v>0</v>
      </c>
      <c r="AN211" s="22">
        <v>0</v>
      </c>
      <c r="AO211" s="22">
        <v>0</v>
      </c>
      <c r="AP211" s="22">
        <v>0</v>
      </c>
      <c r="AQ211" s="22">
        <v>0</v>
      </c>
      <c r="AR211" s="22">
        <v>0</v>
      </c>
      <c r="AS211" s="22">
        <v>0</v>
      </c>
      <c r="AT211" s="22">
        <v>0</v>
      </c>
      <c r="AU211" s="19">
        <f t="shared" si="4"/>
        <v>0</v>
      </c>
      <c r="AV211" s="22">
        <f>31900+1100</f>
        <v>33000</v>
      </c>
      <c r="AW211" s="29" t="s">
        <v>54</v>
      </c>
      <c r="AX211" s="25">
        <v>45790</v>
      </c>
      <c r="AY211" s="15"/>
      <c r="AZ211" s="26"/>
      <c r="BA211" s="27">
        <f t="shared" si="8"/>
        <v>-1100</v>
      </c>
      <c r="BB211" s="14"/>
      <c r="BC211" s="28"/>
    </row>
    <row r="212" spans="1:55" ht="56.4" x14ac:dyDescent="0.4">
      <c r="A212" s="15">
        <v>211</v>
      </c>
      <c r="B212" s="16">
        <v>80521</v>
      </c>
      <c r="C212" s="17" t="s">
        <v>368</v>
      </c>
      <c r="D212" s="16" t="s">
        <v>385</v>
      </c>
      <c r="E212" s="16" t="s">
        <v>386</v>
      </c>
      <c r="F212" s="16">
        <v>30</v>
      </c>
      <c r="G212" s="16">
        <v>30</v>
      </c>
      <c r="H212" s="18">
        <f t="shared" si="7"/>
        <v>0</v>
      </c>
      <c r="I212" s="19">
        <f t="shared" si="1"/>
        <v>0</v>
      </c>
      <c r="J212" s="16">
        <v>0</v>
      </c>
      <c r="K212" s="20">
        <v>0</v>
      </c>
      <c r="L212" s="21"/>
      <c r="M212" s="21"/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22">
        <v>30000</v>
      </c>
      <c r="T212" s="19">
        <f t="shared" si="2"/>
        <v>0</v>
      </c>
      <c r="U212" s="19">
        <f t="shared" si="3"/>
        <v>30000</v>
      </c>
      <c r="V212" s="22">
        <v>30000</v>
      </c>
      <c r="W212" s="31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  <c r="AF212" s="22">
        <v>2000</v>
      </c>
      <c r="AG212" s="22">
        <v>0</v>
      </c>
      <c r="AH212" s="22">
        <v>0</v>
      </c>
      <c r="AI212" s="22">
        <v>0</v>
      </c>
      <c r="AJ212" s="22">
        <v>0</v>
      </c>
      <c r="AK212" s="22">
        <v>0</v>
      </c>
      <c r="AL212" s="22">
        <v>0</v>
      </c>
      <c r="AM212" s="22">
        <v>0</v>
      </c>
      <c r="AN212" s="22">
        <v>0</v>
      </c>
      <c r="AO212" s="22">
        <v>0</v>
      </c>
      <c r="AP212" s="22">
        <v>0</v>
      </c>
      <c r="AQ212" s="22">
        <v>0</v>
      </c>
      <c r="AR212" s="22">
        <v>0</v>
      </c>
      <c r="AS212" s="22">
        <v>0</v>
      </c>
      <c r="AT212" s="22">
        <v>0</v>
      </c>
      <c r="AU212" s="19">
        <f t="shared" si="4"/>
        <v>2000</v>
      </c>
      <c r="AV212" s="22">
        <v>28000</v>
      </c>
      <c r="AW212" s="24" t="s">
        <v>54</v>
      </c>
      <c r="AX212" s="25">
        <v>45789</v>
      </c>
      <c r="AY212" s="15"/>
      <c r="AZ212" s="26"/>
      <c r="BA212" s="27">
        <f t="shared" si="8"/>
        <v>0</v>
      </c>
      <c r="BB212" s="14"/>
      <c r="BC212" s="28"/>
    </row>
    <row r="213" spans="1:55" ht="42.6" x14ac:dyDescent="0.4">
      <c r="A213" s="15">
        <v>212</v>
      </c>
      <c r="B213" s="16">
        <v>80542</v>
      </c>
      <c r="C213" s="17" t="s">
        <v>368</v>
      </c>
      <c r="D213" s="16" t="s">
        <v>125</v>
      </c>
      <c r="E213" s="16" t="s">
        <v>387</v>
      </c>
      <c r="F213" s="16">
        <v>30</v>
      </c>
      <c r="G213" s="16">
        <v>15</v>
      </c>
      <c r="H213" s="18">
        <f t="shared" si="7"/>
        <v>15</v>
      </c>
      <c r="I213" s="19">
        <f t="shared" si="1"/>
        <v>12500</v>
      </c>
      <c r="J213" s="16">
        <v>3</v>
      </c>
      <c r="K213" s="33">
        <v>1</v>
      </c>
      <c r="L213" s="21"/>
      <c r="M213" s="21"/>
      <c r="N213" s="16">
        <v>0</v>
      </c>
      <c r="O213" s="16">
        <v>0</v>
      </c>
      <c r="P213" s="16">
        <v>0</v>
      </c>
      <c r="Q213" s="16">
        <v>0</v>
      </c>
      <c r="R213" s="16">
        <v>15</v>
      </c>
      <c r="S213" s="22">
        <v>25000</v>
      </c>
      <c r="T213" s="19">
        <f t="shared" si="2"/>
        <v>833.33333333333337</v>
      </c>
      <c r="U213" s="19">
        <f t="shared" si="3"/>
        <v>12500</v>
      </c>
      <c r="V213" s="22">
        <v>10000</v>
      </c>
      <c r="W213" s="31">
        <f>1667+833</f>
        <v>2500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2000</v>
      </c>
      <c r="AG213" s="22">
        <v>0</v>
      </c>
      <c r="AH213" s="22">
        <v>0</v>
      </c>
      <c r="AI213" s="22">
        <v>0</v>
      </c>
      <c r="AJ213" s="22">
        <v>0</v>
      </c>
      <c r="AK213" s="22">
        <v>0</v>
      </c>
      <c r="AL213" s="22">
        <v>0</v>
      </c>
      <c r="AM213" s="22">
        <v>0</v>
      </c>
      <c r="AN213" s="22">
        <v>0</v>
      </c>
      <c r="AO213" s="22">
        <v>0</v>
      </c>
      <c r="AP213" s="22">
        <v>0</v>
      </c>
      <c r="AQ213" s="22">
        <v>0</v>
      </c>
      <c r="AR213" s="22">
        <v>0</v>
      </c>
      <c r="AS213" s="22">
        <v>0</v>
      </c>
      <c r="AT213" s="22">
        <v>0</v>
      </c>
      <c r="AU213" s="19">
        <f t="shared" si="4"/>
        <v>2000</v>
      </c>
      <c r="AV213" s="22">
        <f>9666.67+833</f>
        <v>10499.67</v>
      </c>
      <c r="AW213" s="29"/>
      <c r="AX213" s="34"/>
      <c r="AY213" s="15"/>
      <c r="AZ213" s="26"/>
      <c r="BA213" s="27">
        <f t="shared" si="8"/>
        <v>-833.00333333333401</v>
      </c>
      <c r="BB213" s="14"/>
      <c r="BC213" s="28"/>
    </row>
    <row r="214" spans="1:55" ht="28.8" x14ac:dyDescent="0.4">
      <c r="A214" s="15">
        <v>213</v>
      </c>
      <c r="B214" s="16">
        <v>80589</v>
      </c>
      <c r="C214" s="17" t="s">
        <v>368</v>
      </c>
      <c r="D214" s="16" t="s">
        <v>388</v>
      </c>
      <c r="E214" s="16" t="s">
        <v>389</v>
      </c>
      <c r="F214" s="16">
        <v>30</v>
      </c>
      <c r="G214" s="16">
        <v>30</v>
      </c>
      <c r="H214" s="18">
        <f t="shared" si="7"/>
        <v>0</v>
      </c>
      <c r="I214" s="19">
        <f t="shared" si="1"/>
        <v>0</v>
      </c>
      <c r="J214" s="16">
        <v>4</v>
      </c>
      <c r="K214" s="20">
        <v>2</v>
      </c>
      <c r="L214" s="21"/>
      <c r="M214" s="21"/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22">
        <v>50000</v>
      </c>
      <c r="T214" s="19">
        <f t="shared" si="2"/>
        <v>3333.3333333333335</v>
      </c>
      <c r="U214" s="19">
        <f t="shared" si="3"/>
        <v>46666</v>
      </c>
      <c r="V214" s="22">
        <v>43333</v>
      </c>
      <c r="W214" s="31">
        <v>3333</v>
      </c>
      <c r="X214" s="22">
        <v>0</v>
      </c>
      <c r="Y214" s="22">
        <v>0</v>
      </c>
      <c r="Z214" s="22">
        <v>0</v>
      </c>
      <c r="AA214" s="22">
        <v>0</v>
      </c>
      <c r="AB214" s="22">
        <v>0</v>
      </c>
      <c r="AC214" s="22">
        <v>0</v>
      </c>
      <c r="AD214" s="22">
        <v>0</v>
      </c>
      <c r="AE214" s="22">
        <v>0</v>
      </c>
      <c r="AF214" s="22">
        <v>10000</v>
      </c>
      <c r="AG214" s="22">
        <v>0</v>
      </c>
      <c r="AH214" s="22">
        <v>0</v>
      </c>
      <c r="AI214" s="22">
        <v>0</v>
      </c>
      <c r="AJ214" s="22">
        <v>0</v>
      </c>
      <c r="AK214" s="22">
        <v>0</v>
      </c>
      <c r="AL214" s="22">
        <v>0</v>
      </c>
      <c r="AM214" s="22">
        <v>0</v>
      </c>
      <c r="AN214" s="22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19">
        <f t="shared" si="4"/>
        <v>10000</v>
      </c>
      <c r="AV214" s="22">
        <v>36666.67</v>
      </c>
      <c r="AW214" s="24"/>
      <c r="AX214" s="34"/>
      <c r="AY214" s="15"/>
      <c r="AZ214" s="26"/>
      <c r="BA214" s="27">
        <f t="shared" si="8"/>
        <v>-3.3333333340124227E-3</v>
      </c>
      <c r="BB214" s="14"/>
      <c r="BC214" s="28"/>
    </row>
    <row r="215" spans="1:55" ht="28.8" x14ac:dyDescent="0.4">
      <c r="A215" s="15">
        <v>214</v>
      </c>
      <c r="B215" s="16">
        <v>80599</v>
      </c>
      <c r="C215" s="17" t="s">
        <v>368</v>
      </c>
      <c r="D215" s="16" t="s">
        <v>390</v>
      </c>
      <c r="E215" s="16" t="s">
        <v>391</v>
      </c>
      <c r="F215" s="16">
        <v>30</v>
      </c>
      <c r="G215" s="16">
        <v>30</v>
      </c>
      <c r="H215" s="18">
        <f t="shared" si="7"/>
        <v>0</v>
      </c>
      <c r="I215" s="19">
        <f t="shared" si="1"/>
        <v>0</v>
      </c>
      <c r="J215" s="16">
        <v>0</v>
      </c>
      <c r="K215" s="20">
        <v>0</v>
      </c>
      <c r="L215" s="21"/>
      <c r="M215" s="21"/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22">
        <v>45000</v>
      </c>
      <c r="T215" s="19">
        <f t="shared" si="2"/>
        <v>0</v>
      </c>
      <c r="U215" s="19">
        <f t="shared" si="3"/>
        <v>45000</v>
      </c>
      <c r="V215" s="22">
        <v>45000</v>
      </c>
      <c r="W215" s="31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  <c r="AE215" s="22">
        <v>0</v>
      </c>
      <c r="AF215" s="22">
        <v>0</v>
      </c>
      <c r="AG215" s="22">
        <v>0</v>
      </c>
      <c r="AH215" s="22">
        <v>0</v>
      </c>
      <c r="AI215" s="22">
        <v>0</v>
      </c>
      <c r="AJ215" s="22">
        <v>0</v>
      </c>
      <c r="AK215" s="22">
        <v>0</v>
      </c>
      <c r="AL215" s="22">
        <v>0</v>
      </c>
      <c r="AM215" s="22">
        <v>0</v>
      </c>
      <c r="AN215" s="22">
        <v>0</v>
      </c>
      <c r="AO215" s="22">
        <v>0</v>
      </c>
      <c r="AP215" s="22">
        <v>0</v>
      </c>
      <c r="AQ215" s="22">
        <v>0</v>
      </c>
      <c r="AR215" s="22">
        <v>0</v>
      </c>
      <c r="AS215" s="22">
        <v>0</v>
      </c>
      <c r="AT215" s="22">
        <v>0</v>
      </c>
      <c r="AU215" s="19">
        <f t="shared" si="4"/>
        <v>0</v>
      </c>
      <c r="AV215" s="22">
        <v>45000</v>
      </c>
      <c r="AW215" s="24" t="s">
        <v>54</v>
      </c>
      <c r="AX215" s="25">
        <v>45790</v>
      </c>
      <c r="AY215" s="15"/>
      <c r="AZ215" s="26"/>
      <c r="BA215" s="27">
        <f t="shared" si="8"/>
        <v>0</v>
      </c>
      <c r="BB215" s="14"/>
      <c r="BC215" s="28"/>
    </row>
    <row r="216" spans="1:55" ht="28.8" x14ac:dyDescent="0.4">
      <c r="A216" s="15">
        <v>215</v>
      </c>
      <c r="B216" s="16">
        <v>80600</v>
      </c>
      <c r="C216" s="17" t="s">
        <v>368</v>
      </c>
      <c r="D216" s="16" t="s">
        <v>390</v>
      </c>
      <c r="E216" s="16" t="s">
        <v>392</v>
      </c>
      <c r="F216" s="16">
        <v>30</v>
      </c>
      <c r="G216" s="16">
        <v>28</v>
      </c>
      <c r="H216" s="18">
        <f t="shared" si="7"/>
        <v>2</v>
      </c>
      <c r="I216" s="19">
        <f t="shared" si="1"/>
        <v>2000</v>
      </c>
      <c r="J216" s="16">
        <v>3</v>
      </c>
      <c r="K216" s="33">
        <v>1</v>
      </c>
      <c r="L216" s="21"/>
      <c r="M216" s="21"/>
      <c r="N216" s="16">
        <v>0</v>
      </c>
      <c r="O216" s="16">
        <v>0</v>
      </c>
      <c r="P216" s="16">
        <v>2</v>
      </c>
      <c r="Q216" s="16">
        <v>0</v>
      </c>
      <c r="R216" s="16">
        <v>0</v>
      </c>
      <c r="S216" s="22">
        <v>30000</v>
      </c>
      <c r="T216" s="19">
        <f t="shared" si="2"/>
        <v>1000</v>
      </c>
      <c r="U216" s="19">
        <f t="shared" si="3"/>
        <v>28000</v>
      </c>
      <c r="V216" s="22">
        <v>25000</v>
      </c>
      <c r="W216" s="31">
        <f>2000+1000</f>
        <v>3000</v>
      </c>
      <c r="X216" s="22">
        <v>0</v>
      </c>
      <c r="Y216" s="22">
        <v>0</v>
      </c>
      <c r="Z216" s="22">
        <v>0</v>
      </c>
      <c r="AA216" s="22">
        <v>0</v>
      </c>
      <c r="AB216" s="22">
        <v>0</v>
      </c>
      <c r="AC216" s="22">
        <v>0</v>
      </c>
      <c r="AD216" s="22">
        <v>2000</v>
      </c>
      <c r="AE216" s="22">
        <v>0</v>
      </c>
      <c r="AF216" s="22">
        <v>0</v>
      </c>
      <c r="AG216" s="32"/>
      <c r="AH216" s="22">
        <v>0</v>
      </c>
      <c r="AI216" s="22">
        <v>0</v>
      </c>
      <c r="AJ216" s="22">
        <v>0</v>
      </c>
      <c r="AK216" s="22">
        <v>0</v>
      </c>
      <c r="AL216" s="22">
        <v>0</v>
      </c>
      <c r="AM216" s="22">
        <v>0</v>
      </c>
      <c r="AN216" s="22">
        <v>0</v>
      </c>
      <c r="AO216" s="22">
        <v>0</v>
      </c>
      <c r="AP216" s="22">
        <v>0</v>
      </c>
      <c r="AQ216" s="22">
        <v>0</v>
      </c>
      <c r="AR216" s="22">
        <v>0</v>
      </c>
      <c r="AS216" s="22">
        <v>0</v>
      </c>
      <c r="AT216" s="22">
        <v>0</v>
      </c>
      <c r="AU216" s="19">
        <f t="shared" si="4"/>
        <v>2000</v>
      </c>
      <c r="AV216" s="22">
        <f>27000-2000+1000</f>
        <v>26000</v>
      </c>
      <c r="AW216" s="24" t="s">
        <v>54</v>
      </c>
      <c r="AX216" s="25">
        <v>45790</v>
      </c>
      <c r="AY216" s="15"/>
      <c r="AZ216" s="26"/>
      <c r="BA216" s="27">
        <f t="shared" si="8"/>
        <v>-1000</v>
      </c>
      <c r="BB216" s="14"/>
      <c r="BC216" s="28"/>
    </row>
    <row r="217" spans="1:55" ht="56.4" x14ac:dyDescent="0.4">
      <c r="A217" s="15">
        <v>216</v>
      </c>
      <c r="B217" s="16">
        <v>80616</v>
      </c>
      <c r="C217" s="17" t="s">
        <v>368</v>
      </c>
      <c r="D217" s="16" t="s">
        <v>393</v>
      </c>
      <c r="E217" s="16" t="s">
        <v>394</v>
      </c>
      <c r="F217" s="16">
        <v>30</v>
      </c>
      <c r="G217" s="16">
        <v>30</v>
      </c>
      <c r="H217" s="18">
        <f t="shared" si="7"/>
        <v>0</v>
      </c>
      <c r="I217" s="19">
        <f t="shared" si="1"/>
        <v>0</v>
      </c>
      <c r="J217" s="16">
        <v>4</v>
      </c>
      <c r="K217" s="20">
        <v>2</v>
      </c>
      <c r="L217" s="21"/>
      <c r="M217" s="21"/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32">
        <v>35000</v>
      </c>
      <c r="T217" s="19">
        <f t="shared" si="2"/>
        <v>2333.3333333333335</v>
      </c>
      <c r="U217" s="19">
        <f t="shared" si="3"/>
        <v>32666</v>
      </c>
      <c r="V217" s="22">
        <v>30333</v>
      </c>
      <c r="W217" s="31">
        <v>2333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22">
        <v>0</v>
      </c>
      <c r="AE217" s="22">
        <v>0</v>
      </c>
      <c r="AF217" s="22">
        <v>0</v>
      </c>
      <c r="AG217" s="22">
        <v>0</v>
      </c>
      <c r="AH217" s="22">
        <v>0</v>
      </c>
      <c r="AI217" s="22">
        <v>0</v>
      </c>
      <c r="AJ217" s="22">
        <v>0</v>
      </c>
      <c r="AK217" s="22">
        <v>0</v>
      </c>
      <c r="AL217" s="22">
        <v>0</v>
      </c>
      <c r="AM217" s="22">
        <v>0</v>
      </c>
      <c r="AN217" s="22">
        <v>0</v>
      </c>
      <c r="AO217" s="22">
        <v>0</v>
      </c>
      <c r="AP217" s="22">
        <v>0</v>
      </c>
      <c r="AQ217" s="22">
        <v>0</v>
      </c>
      <c r="AR217" s="22">
        <v>0</v>
      </c>
      <c r="AS217" s="22">
        <v>0</v>
      </c>
      <c r="AT217" s="22">
        <v>0</v>
      </c>
      <c r="AU217" s="19">
        <f t="shared" si="4"/>
        <v>0</v>
      </c>
      <c r="AV217" s="22">
        <v>32666.67</v>
      </c>
      <c r="AW217" s="24" t="s">
        <v>54</v>
      </c>
      <c r="AX217" s="25">
        <v>45790</v>
      </c>
      <c r="AY217" s="15"/>
      <c r="AZ217" s="26"/>
      <c r="BA217" s="27">
        <f t="shared" si="8"/>
        <v>-3.3333333303744439E-3</v>
      </c>
      <c r="BB217" s="14"/>
      <c r="BC217" s="28"/>
    </row>
    <row r="218" spans="1:55" ht="42.6" x14ac:dyDescent="0.4">
      <c r="A218" s="15">
        <v>217</v>
      </c>
      <c r="B218" s="16">
        <v>80643</v>
      </c>
      <c r="C218" s="17" t="s">
        <v>368</v>
      </c>
      <c r="D218" s="16" t="s">
        <v>125</v>
      </c>
      <c r="E218" s="16" t="s">
        <v>395</v>
      </c>
      <c r="F218" s="16">
        <v>30</v>
      </c>
      <c r="G218" s="16">
        <v>24</v>
      </c>
      <c r="H218" s="18">
        <f t="shared" si="7"/>
        <v>6</v>
      </c>
      <c r="I218" s="19">
        <f t="shared" si="1"/>
        <v>4000</v>
      </c>
      <c r="J218" s="16">
        <v>1</v>
      </c>
      <c r="K218" s="20">
        <v>0</v>
      </c>
      <c r="L218" s="21"/>
      <c r="M218" s="21"/>
      <c r="N218" s="16">
        <v>0</v>
      </c>
      <c r="O218" s="16">
        <v>0</v>
      </c>
      <c r="P218" s="16">
        <v>0</v>
      </c>
      <c r="Q218" s="16">
        <v>0</v>
      </c>
      <c r="R218" s="16">
        <v>6</v>
      </c>
      <c r="S218" s="22">
        <v>20000</v>
      </c>
      <c r="T218" s="19">
        <f t="shared" si="2"/>
        <v>0</v>
      </c>
      <c r="U218" s="19">
        <f t="shared" si="3"/>
        <v>16000</v>
      </c>
      <c r="V218" s="22">
        <v>15333</v>
      </c>
      <c r="W218" s="31">
        <v>667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>
        <v>0</v>
      </c>
      <c r="AG218" s="22">
        <v>0</v>
      </c>
      <c r="AH218" s="22">
        <v>0</v>
      </c>
      <c r="AI218" s="22">
        <v>0</v>
      </c>
      <c r="AJ218" s="22">
        <v>0</v>
      </c>
      <c r="AK218" s="22">
        <v>0</v>
      </c>
      <c r="AL218" s="22">
        <v>0</v>
      </c>
      <c r="AM218" s="22">
        <v>0</v>
      </c>
      <c r="AN218" s="22">
        <v>0</v>
      </c>
      <c r="AO218" s="22">
        <v>0</v>
      </c>
      <c r="AP218" s="22">
        <v>0</v>
      </c>
      <c r="AQ218" s="22">
        <v>0</v>
      </c>
      <c r="AR218" s="22">
        <v>0</v>
      </c>
      <c r="AS218" s="22">
        <v>0</v>
      </c>
      <c r="AT218" s="22">
        <v>0</v>
      </c>
      <c r="AU218" s="19">
        <f t="shared" si="4"/>
        <v>0</v>
      </c>
      <c r="AV218" s="22">
        <v>16000</v>
      </c>
      <c r="AW218" s="24"/>
      <c r="AX218" s="34" t="s">
        <v>396</v>
      </c>
      <c r="AY218" s="15"/>
      <c r="AZ218" s="26"/>
      <c r="BA218" s="27">
        <f t="shared" si="8"/>
        <v>0</v>
      </c>
      <c r="BB218" s="14"/>
      <c r="BC218" s="28"/>
    </row>
    <row r="219" spans="1:55" ht="28.8" x14ac:dyDescent="0.4">
      <c r="A219" s="15">
        <v>218</v>
      </c>
      <c r="B219" s="16">
        <v>80734</v>
      </c>
      <c r="C219" s="17" t="s">
        <v>368</v>
      </c>
      <c r="D219" s="16" t="s">
        <v>383</v>
      </c>
      <c r="E219" s="16" t="s">
        <v>397</v>
      </c>
      <c r="F219" s="16">
        <v>30</v>
      </c>
      <c r="G219" s="16">
        <v>25</v>
      </c>
      <c r="H219" s="18">
        <f t="shared" si="7"/>
        <v>5</v>
      </c>
      <c r="I219" s="19">
        <f t="shared" si="1"/>
        <v>1.6666666666666665</v>
      </c>
      <c r="J219" s="16">
        <v>0</v>
      </c>
      <c r="K219" s="20">
        <v>0</v>
      </c>
      <c r="L219" s="21"/>
      <c r="M219" s="21"/>
      <c r="N219" s="16">
        <v>0</v>
      </c>
      <c r="O219" s="16">
        <v>0</v>
      </c>
      <c r="P219" s="16">
        <v>0</v>
      </c>
      <c r="Q219" s="16">
        <v>0</v>
      </c>
      <c r="R219" s="16">
        <v>5</v>
      </c>
      <c r="S219" s="22">
        <v>10</v>
      </c>
      <c r="T219" s="19">
        <f t="shared" si="2"/>
        <v>0</v>
      </c>
      <c r="U219" s="19">
        <f t="shared" si="3"/>
        <v>8</v>
      </c>
      <c r="V219" s="22">
        <v>8</v>
      </c>
      <c r="W219" s="31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  <c r="AH219" s="22">
        <v>0</v>
      </c>
      <c r="AI219" s="22">
        <v>0</v>
      </c>
      <c r="AJ219" s="22">
        <v>0</v>
      </c>
      <c r="AK219" s="22">
        <v>0</v>
      </c>
      <c r="AL219" s="22">
        <v>0</v>
      </c>
      <c r="AM219" s="22">
        <v>0</v>
      </c>
      <c r="AN219" s="22">
        <v>0</v>
      </c>
      <c r="AO219" s="22">
        <v>0</v>
      </c>
      <c r="AP219" s="22">
        <v>0</v>
      </c>
      <c r="AQ219" s="22">
        <v>0</v>
      </c>
      <c r="AR219" s="22">
        <v>0</v>
      </c>
      <c r="AS219" s="22">
        <v>0</v>
      </c>
      <c r="AT219" s="22">
        <v>0</v>
      </c>
      <c r="AU219" s="19">
        <f t="shared" si="4"/>
        <v>0</v>
      </c>
      <c r="AV219" s="22">
        <v>8.33</v>
      </c>
      <c r="AW219" s="24"/>
      <c r="AX219" s="34"/>
      <c r="AY219" s="15"/>
      <c r="AZ219" s="26"/>
      <c r="BA219" s="27">
        <f t="shared" si="8"/>
        <v>3.333333333332078E-3</v>
      </c>
      <c r="BB219" s="14"/>
      <c r="BC219" s="28"/>
    </row>
    <row r="220" spans="1:55" ht="28.8" x14ac:dyDescent="0.4">
      <c r="A220" s="15">
        <v>219</v>
      </c>
      <c r="B220" s="16">
        <v>22016</v>
      </c>
      <c r="C220" s="17" t="s">
        <v>398</v>
      </c>
      <c r="D220" s="16" t="s">
        <v>399</v>
      </c>
      <c r="E220" s="16" t="s">
        <v>400</v>
      </c>
      <c r="F220" s="16">
        <v>30</v>
      </c>
      <c r="G220" s="16">
        <v>30</v>
      </c>
      <c r="H220" s="18">
        <f t="shared" si="7"/>
        <v>0</v>
      </c>
      <c r="I220" s="19">
        <f t="shared" si="1"/>
        <v>0</v>
      </c>
      <c r="J220" s="16">
        <v>0</v>
      </c>
      <c r="K220" s="20">
        <v>0</v>
      </c>
      <c r="L220" s="21"/>
      <c r="M220" s="21"/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22">
        <v>40000</v>
      </c>
      <c r="T220" s="19">
        <f t="shared" si="2"/>
        <v>0</v>
      </c>
      <c r="U220" s="19">
        <f t="shared" si="3"/>
        <v>40000</v>
      </c>
      <c r="V220" s="22">
        <v>40000</v>
      </c>
      <c r="W220" s="31">
        <v>0</v>
      </c>
      <c r="X220" s="22">
        <v>0</v>
      </c>
      <c r="Y220" s="22">
        <v>0</v>
      </c>
      <c r="Z220" s="22">
        <v>0</v>
      </c>
      <c r="AA220" s="22">
        <v>0</v>
      </c>
      <c r="AB220" s="32">
        <v>5000</v>
      </c>
      <c r="AC220" s="22">
        <v>0</v>
      </c>
      <c r="AD220" s="22">
        <v>0</v>
      </c>
      <c r="AE220" s="22">
        <v>0</v>
      </c>
      <c r="AF220" s="22">
        <v>6000</v>
      </c>
      <c r="AG220" s="22">
        <v>0</v>
      </c>
      <c r="AH220" s="22">
        <v>0</v>
      </c>
      <c r="AI220" s="22">
        <v>0</v>
      </c>
      <c r="AJ220" s="22">
        <v>0</v>
      </c>
      <c r="AK220" s="22">
        <v>0</v>
      </c>
      <c r="AL220" s="22">
        <v>0</v>
      </c>
      <c r="AM220" s="22">
        <v>0</v>
      </c>
      <c r="AN220" s="22">
        <v>0</v>
      </c>
      <c r="AO220" s="22">
        <v>0</v>
      </c>
      <c r="AP220" s="22">
        <v>0</v>
      </c>
      <c r="AQ220" s="22">
        <v>0</v>
      </c>
      <c r="AR220" s="22">
        <v>0</v>
      </c>
      <c r="AS220" s="22">
        <v>0</v>
      </c>
      <c r="AT220" s="22">
        <v>0</v>
      </c>
      <c r="AU220" s="19">
        <f t="shared" si="4"/>
        <v>11000</v>
      </c>
      <c r="AV220" s="22">
        <f>34000-5000</f>
        <v>29000</v>
      </c>
      <c r="AW220" s="24" t="s">
        <v>54</v>
      </c>
      <c r="AX220" s="25">
        <v>45789</v>
      </c>
      <c r="AY220" s="15"/>
      <c r="AZ220" s="26"/>
      <c r="BA220" s="27">
        <f t="shared" si="8"/>
        <v>0</v>
      </c>
      <c r="BB220" s="14"/>
      <c r="BC220" s="28"/>
    </row>
    <row r="221" spans="1:55" ht="28.8" x14ac:dyDescent="0.4">
      <c r="A221" s="15">
        <v>220</v>
      </c>
      <c r="B221" s="16">
        <v>22032</v>
      </c>
      <c r="C221" s="17" t="s">
        <v>398</v>
      </c>
      <c r="D221" s="16" t="s">
        <v>401</v>
      </c>
      <c r="E221" s="16" t="s">
        <v>402</v>
      </c>
      <c r="F221" s="16">
        <v>30</v>
      </c>
      <c r="G221" s="16">
        <v>30</v>
      </c>
      <c r="H221" s="18">
        <f t="shared" si="7"/>
        <v>0</v>
      </c>
      <c r="I221" s="19">
        <f t="shared" si="1"/>
        <v>0</v>
      </c>
      <c r="J221" s="16">
        <v>1</v>
      </c>
      <c r="K221" s="20">
        <v>0</v>
      </c>
      <c r="L221" s="21"/>
      <c r="M221" s="21"/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22">
        <v>24200</v>
      </c>
      <c r="T221" s="19">
        <f t="shared" si="2"/>
        <v>0</v>
      </c>
      <c r="U221" s="19">
        <f t="shared" si="3"/>
        <v>24200</v>
      </c>
      <c r="V221" s="22">
        <v>23393</v>
      </c>
      <c r="W221" s="31">
        <v>807</v>
      </c>
      <c r="X221" s="22">
        <v>0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  <c r="AF221" s="22">
        <v>4000</v>
      </c>
      <c r="AG221" s="22">
        <v>0</v>
      </c>
      <c r="AH221" s="22">
        <v>0</v>
      </c>
      <c r="AI221" s="22">
        <v>0</v>
      </c>
      <c r="AJ221" s="22">
        <v>0</v>
      </c>
      <c r="AK221" s="22">
        <v>0</v>
      </c>
      <c r="AL221" s="22">
        <v>0</v>
      </c>
      <c r="AM221" s="22">
        <v>0</v>
      </c>
      <c r="AN221" s="22">
        <v>0</v>
      </c>
      <c r="AO221" s="22">
        <v>0</v>
      </c>
      <c r="AP221" s="22">
        <v>0</v>
      </c>
      <c r="AQ221" s="22">
        <v>0</v>
      </c>
      <c r="AR221" s="22">
        <v>0</v>
      </c>
      <c r="AS221" s="22">
        <v>0</v>
      </c>
      <c r="AT221" s="22">
        <v>0</v>
      </c>
      <c r="AU221" s="19">
        <f t="shared" si="4"/>
        <v>4000</v>
      </c>
      <c r="AV221" s="22">
        <v>20200</v>
      </c>
      <c r="AW221" s="24" t="s">
        <v>54</v>
      </c>
      <c r="AX221" s="25">
        <v>45790</v>
      </c>
      <c r="AY221" s="15"/>
      <c r="AZ221" s="26"/>
      <c r="BA221" s="27">
        <f t="shared" si="8"/>
        <v>0</v>
      </c>
      <c r="BB221" s="14"/>
      <c r="BC221" s="28"/>
    </row>
    <row r="222" spans="1:55" ht="28.8" x14ac:dyDescent="0.4">
      <c r="A222" s="15">
        <v>221</v>
      </c>
      <c r="B222" s="16">
        <v>22084</v>
      </c>
      <c r="C222" s="17" t="s">
        <v>398</v>
      </c>
      <c r="D222" s="16" t="s">
        <v>401</v>
      </c>
      <c r="E222" s="16" t="s">
        <v>403</v>
      </c>
      <c r="F222" s="16">
        <v>30</v>
      </c>
      <c r="G222" s="16">
        <v>30</v>
      </c>
      <c r="H222" s="18">
        <f t="shared" si="7"/>
        <v>0</v>
      </c>
      <c r="I222" s="19">
        <f t="shared" si="1"/>
        <v>0</v>
      </c>
      <c r="J222" s="16">
        <v>0</v>
      </c>
      <c r="K222" s="20">
        <v>0</v>
      </c>
      <c r="L222" s="21"/>
      <c r="M222" s="21"/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22">
        <v>27500</v>
      </c>
      <c r="T222" s="19">
        <f t="shared" si="2"/>
        <v>0</v>
      </c>
      <c r="U222" s="19">
        <f t="shared" si="3"/>
        <v>27500</v>
      </c>
      <c r="V222" s="22">
        <v>27500</v>
      </c>
      <c r="W222" s="31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>
        <v>4000</v>
      </c>
      <c r="AG222" s="22">
        <v>0</v>
      </c>
      <c r="AH222" s="22">
        <v>0</v>
      </c>
      <c r="AI222" s="22">
        <v>0</v>
      </c>
      <c r="AJ222" s="22">
        <v>0</v>
      </c>
      <c r="AK222" s="22">
        <v>0</v>
      </c>
      <c r="AL222" s="22">
        <v>0</v>
      </c>
      <c r="AM222" s="22">
        <v>0</v>
      </c>
      <c r="AN222" s="22">
        <v>0</v>
      </c>
      <c r="AO222" s="22">
        <v>0</v>
      </c>
      <c r="AP222" s="22">
        <v>0</v>
      </c>
      <c r="AQ222" s="22">
        <v>0</v>
      </c>
      <c r="AR222" s="22">
        <v>0</v>
      </c>
      <c r="AS222" s="22">
        <v>0</v>
      </c>
      <c r="AT222" s="22">
        <v>0</v>
      </c>
      <c r="AU222" s="19">
        <f t="shared" si="4"/>
        <v>4000</v>
      </c>
      <c r="AV222" s="22">
        <v>23500</v>
      </c>
      <c r="AW222" s="24" t="s">
        <v>54</v>
      </c>
      <c r="AX222" s="25">
        <v>45789</v>
      </c>
      <c r="AY222" s="15"/>
      <c r="AZ222" s="26"/>
      <c r="BA222" s="27">
        <f t="shared" si="8"/>
        <v>0</v>
      </c>
      <c r="BB222" s="14"/>
      <c r="BC222" s="28"/>
    </row>
    <row r="223" spans="1:55" ht="28.8" x14ac:dyDescent="0.4">
      <c r="A223" s="15">
        <v>222</v>
      </c>
      <c r="B223" s="16">
        <v>80571</v>
      </c>
      <c r="C223" s="17" t="s">
        <v>398</v>
      </c>
      <c r="D223" s="16" t="s">
        <v>404</v>
      </c>
      <c r="E223" s="16" t="s">
        <v>405</v>
      </c>
      <c r="F223" s="16">
        <v>30</v>
      </c>
      <c r="G223" s="16">
        <v>30</v>
      </c>
      <c r="H223" s="18">
        <f t="shared" si="7"/>
        <v>0</v>
      </c>
      <c r="I223" s="19">
        <f t="shared" si="1"/>
        <v>0</v>
      </c>
      <c r="J223" s="16">
        <v>0</v>
      </c>
      <c r="K223" s="20">
        <v>0</v>
      </c>
      <c r="L223" s="21"/>
      <c r="M223" s="21"/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22">
        <v>20000</v>
      </c>
      <c r="T223" s="19">
        <f t="shared" si="2"/>
        <v>0</v>
      </c>
      <c r="U223" s="19">
        <f t="shared" si="3"/>
        <v>20000</v>
      </c>
      <c r="V223" s="22">
        <v>20000</v>
      </c>
      <c r="W223" s="31">
        <v>0</v>
      </c>
      <c r="X223" s="22">
        <v>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>
        <v>2000</v>
      </c>
      <c r="AG223" s="22">
        <v>0</v>
      </c>
      <c r="AH223" s="22">
        <v>0</v>
      </c>
      <c r="AI223" s="22">
        <v>0</v>
      </c>
      <c r="AJ223" s="22">
        <v>0</v>
      </c>
      <c r="AK223" s="22">
        <v>0</v>
      </c>
      <c r="AL223" s="22">
        <v>0</v>
      </c>
      <c r="AM223" s="22">
        <v>0</v>
      </c>
      <c r="AN223" s="22">
        <v>0</v>
      </c>
      <c r="AO223" s="22">
        <v>0</v>
      </c>
      <c r="AP223" s="22">
        <v>0</v>
      </c>
      <c r="AQ223" s="22">
        <v>0</v>
      </c>
      <c r="AR223" s="22">
        <v>0</v>
      </c>
      <c r="AS223" s="22">
        <v>0</v>
      </c>
      <c r="AT223" s="22">
        <v>0</v>
      </c>
      <c r="AU223" s="19">
        <f t="shared" si="4"/>
        <v>2000</v>
      </c>
      <c r="AV223" s="22">
        <v>18000</v>
      </c>
      <c r="AW223" s="24" t="s">
        <v>54</v>
      </c>
      <c r="AX223" s="25">
        <v>45789</v>
      </c>
      <c r="AY223" s="15"/>
      <c r="AZ223" s="26"/>
      <c r="BA223" s="27">
        <f t="shared" si="8"/>
        <v>0</v>
      </c>
      <c r="BB223" s="14"/>
      <c r="BC223" s="28"/>
    </row>
    <row r="224" spans="1:55" ht="21" x14ac:dyDescent="0.4">
      <c r="A224" s="15">
        <v>223</v>
      </c>
      <c r="B224" s="16">
        <v>80735</v>
      </c>
      <c r="C224" s="17" t="s">
        <v>398</v>
      </c>
      <c r="D224" s="16"/>
      <c r="E224" s="16" t="s">
        <v>406</v>
      </c>
      <c r="F224" s="16">
        <v>30</v>
      </c>
      <c r="G224" s="16">
        <v>29</v>
      </c>
      <c r="H224" s="18">
        <f t="shared" si="7"/>
        <v>1</v>
      </c>
      <c r="I224" s="19">
        <f t="shared" si="1"/>
        <v>733.33333333333337</v>
      </c>
      <c r="J224" s="16">
        <v>2</v>
      </c>
      <c r="K224" s="33">
        <v>1</v>
      </c>
      <c r="L224" s="21"/>
      <c r="M224" s="21"/>
      <c r="N224" s="16">
        <v>0</v>
      </c>
      <c r="O224" s="16">
        <v>0</v>
      </c>
      <c r="P224" s="16">
        <v>0</v>
      </c>
      <c r="Q224" s="16">
        <v>0</v>
      </c>
      <c r="R224" s="16">
        <v>1</v>
      </c>
      <c r="S224" s="22">
        <v>22000</v>
      </c>
      <c r="T224" s="19">
        <f t="shared" si="2"/>
        <v>733.33333333333337</v>
      </c>
      <c r="U224" s="19">
        <f t="shared" si="3"/>
        <v>21266</v>
      </c>
      <c r="V224" s="22">
        <v>19800</v>
      </c>
      <c r="W224" s="31">
        <f>733+733</f>
        <v>1466</v>
      </c>
      <c r="X224" s="22">
        <v>0</v>
      </c>
      <c r="Y224" s="22">
        <v>0</v>
      </c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  <c r="AE224" s="22">
        <v>0</v>
      </c>
      <c r="AF224" s="22">
        <v>3000</v>
      </c>
      <c r="AG224" s="22">
        <v>0</v>
      </c>
      <c r="AH224" s="22">
        <v>0</v>
      </c>
      <c r="AI224" s="22">
        <v>0</v>
      </c>
      <c r="AJ224" s="22">
        <v>0</v>
      </c>
      <c r="AK224" s="22">
        <v>0</v>
      </c>
      <c r="AL224" s="22">
        <v>0</v>
      </c>
      <c r="AM224" s="22">
        <v>0</v>
      </c>
      <c r="AN224" s="22">
        <v>0</v>
      </c>
      <c r="AO224" s="22">
        <v>0</v>
      </c>
      <c r="AP224" s="22">
        <v>0</v>
      </c>
      <c r="AQ224" s="22">
        <v>0</v>
      </c>
      <c r="AR224" s="22">
        <v>0</v>
      </c>
      <c r="AS224" s="22">
        <v>0</v>
      </c>
      <c r="AT224" s="22">
        <v>0</v>
      </c>
      <c r="AU224" s="19">
        <f t="shared" si="4"/>
        <v>3000</v>
      </c>
      <c r="AV224" s="22">
        <f>17533.33+733</f>
        <v>18266.330000000002</v>
      </c>
      <c r="AW224" s="29" t="s">
        <v>54</v>
      </c>
      <c r="AX224" s="25">
        <v>45789</v>
      </c>
      <c r="AY224" s="15"/>
      <c r="AZ224" s="26"/>
      <c r="BA224" s="27">
        <f t="shared" si="8"/>
        <v>-732.99666666666599</v>
      </c>
      <c r="BB224" s="14"/>
      <c r="BC224" s="28"/>
    </row>
    <row r="225" spans="1:55" ht="42.6" x14ac:dyDescent="0.4">
      <c r="A225" s="15">
        <v>224</v>
      </c>
      <c r="B225" s="16">
        <v>80756</v>
      </c>
      <c r="C225" s="17" t="s">
        <v>398</v>
      </c>
      <c r="D225" s="16" t="s">
        <v>404</v>
      </c>
      <c r="E225" s="16" t="s">
        <v>407</v>
      </c>
      <c r="F225" s="16">
        <v>30</v>
      </c>
      <c r="G225" s="16">
        <v>21</v>
      </c>
      <c r="H225" s="18">
        <f t="shared" si="7"/>
        <v>9</v>
      </c>
      <c r="I225" s="19">
        <f t="shared" si="1"/>
        <v>6600</v>
      </c>
      <c r="J225" s="16">
        <v>1</v>
      </c>
      <c r="K225" s="20">
        <v>0</v>
      </c>
      <c r="L225" s="21"/>
      <c r="M225" s="21"/>
      <c r="N225" s="16">
        <v>0</v>
      </c>
      <c r="O225" s="16">
        <v>0</v>
      </c>
      <c r="P225" s="16">
        <v>0</v>
      </c>
      <c r="Q225" s="16">
        <v>0</v>
      </c>
      <c r="R225" s="16">
        <v>9</v>
      </c>
      <c r="S225" s="22">
        <v>22000</v>
      </c>
      <c r="T225" s="19">
        <f t="shared" si="2"/>
        <v>0</v>
      </c>
      <c r="U225" s="19">
        <f t="shared" si="3"/>
        <v>15400</v>
      </c>
      <c r="V225" s="22">
        <v>14667</v>
      </c>
      <c r="W225" s="31">
        <v>733</v>
      </c>
      <c r="X225" s="22">
        <v>0</v>
      </c>
      <c r="Y225" s="22">
        <v>0</v>
      </c>
      <c r="Z225" s="22">
        <v>0</v>
      </c>
      <c r="AA225" s="22">
        <v>0</v>
      </c>
      <c r="AB225" s="22">
        <v>0</v>
      </c>
      <c r="AC225" s="22">
        <v>0</v>
      </c>
      <c r="AD225" s="22">
        <v>0</v>
      </c>
      <c r="AE225" s="22">
        <v>0</v>
      </c>
      <c r="AF225" s="22">
        <v>0</v>
      </c>
      <c r="AG225" s="22">
        <v>0</v>
      </c>
      <c r="AH225" s="22">
        <v>0</v>
      </c>
      <c r="AI225" s="22">
        <v>0</v>
      </c>
      <c r="AJ225" s="22">
        <v>0</v>
      </c>
      <c r="AK225" s="22">
        <v>0</v>
      </c>
      <c r="AL225" s="22">
        <v>0</v>
      </c>
      <c r="AM225" s="22">
        <v>0</v>
      </c>
      <c r="AN225" s="22">
        <v>0</v>
      </c>
      <c r="AO225" s="22">
        <v>0</v>
      </c>
      <c r="AP225" s="22">
        <v>0</v>
      </c>
      <c r="AQ225" s="22">
        <v>0</v>
      </c>
      <c r="AR225" s="22">
        <v>0</v>
      </c>
      <c r="AS225" s="22">
        <v>0</v>
      </c>
      <c r="AT225" s="22">
        <v>0</v>
      </c>
      <c r="AU225" s="19">
        <f t="shared" si="4"/>
        <v>0</v>
      </c>
      <c r="AV225" s="22">
        <v>15400</v>
      </c>
      <c r="AW225" s="24"/>
      <c r="AX225" s="34"/>
      <c r="AY225" s="15"/>
      <c r="AZ225" s="26"/>
      <c r="BA225" s="27">
        <f t="shared" si="8"/>
        <v>0</v>
      </c>
      <c r="BB225" s="14"/>
      <c r="BC225" s="28"/>
    </row>
    <row r="226" spans="1:55" ht="28.8" x14ac:dyDescent="0.4">
      <c r="A226" s="15">
        <v>225</v>
      </c>
      <c r="B226" s="16">
        <v>40001</v>
      </c>
      <c r="C226" s="17" t="s">
        <v>408</v>
      </c>
      <c r="D226" s="16" t="s">
        <v>409</v>
      </c>
      <c r="E226" s="16" t="s">
        <v>410</v>
      </c>
      <c r="F226" s="16">
        <v>30</v>
      </c>
      <c r="G226" s="16">
        <v>30</v>
      </c>
      <c r="H226" s="18">
        <f t="shared" si="7"/>
        <v>0</v>
      </c>
      <c r="I226" s="19">
        <f t="shared" si="1"/>
        <v>0</v>
      </c>
      <c r="J226" s="16">
        <v>0</v>
      </c>
      <c r="K226" s="20">
        <v>0</v>
      </c>
      <c r="L226" s="21"/>
      <c r="M226" s="21"/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22">
        <v>38000</v>
      </c>
      <c r="T226" s="19">
        <f t="shared" si="2"/>
        <v>0</v>
      </c>
      <c r="U226" s="19">
        <f t="shared" si="3"/>
        <v>38000</v>
      </c>
      <c r="V226" s="22">
        <v>38000</v>
      </c>
      <c r="W226" s="31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0</v>
      </c>
      <c r="AC226" s="22">
        <v>0</v>
      </c>
      <c r="AD226" s="22">
        <v>0</v>
      </c>
      <c r="AE226" s="22">
        <v>0</v>
      </c>
      <c r="AF226" s="22">
        <v>15000</v>
      </c>
      <c r="AG226" s="22">
        <v>0</v>
      </c>
      <c r="AH226" s="22">
        <v>0</v>
      </c>
      <c r="AI226" s="22">
        <v>0</v>
      </c>
      <c r="AJ226" s="22">
        <v>0</v>
      </c>
      <c r="AK226" s="22">
        <v>0</v>
      </c>
      <c r="AL226" s="22">
        <v>0</v>
      </c>
      <c r="AM226" s="22">
        <v>0</v>
      </c>
      <c r="AN226" s="22">
        <v>0</v>
      </c>
      <c r="AO226" s="22">
        <v>0</v>
      </c>
      <c r="AP226" s="22">
        <v>0</v>
      </c>
      <c r="AQ226" s="22">
        <v>0</v>
      </c>
      <c r="AR226" s="22">
        <v>0</v>
      </c>
      <c r="AS226" s="22">
        <v>0</v>
      </c>
      <c r="AT226" s="22">
        <v>0</v>
      </c>
      <c r="AU226" s="19">
        <f t="shared" si="4"/>
        <v>15000</v>
      </c>
      <c r="AV226" s="22">
        <v>23000</v>
      </c>
      <c r="AW226" s="24" t="s">
        <v>54</v>
      </c>
      <c r="AX226" s="25">
        <v>45789</v>
      </c>
      <c r="AY226" s="15"/>
      <c r="AZ226" s="26"/>
      <c r="BA226" s="27">
        <f t="shared" si="8"/>
        <v>0</v>
      </c>
      <c r="BB226" s="14"/>
      <c r="BC226" s="28"/>
    </row>
    <row r="227" spans="1:55" ht="21" x14ac:dyDescent="0.4">
      <c r="A227" s="15">
        <v>226</v>
      </c>
      <c r="B227" s="16">
        <v>40002</v>
      </c>
      <c r="C227" s="17" t="s">
        <v>408</v>
      </c>
      <c r="D227" s="16" t="s">
        <v>408</v>
      </c>
      <c r="E227" s="16" t="s">
        <v>411</v>
      </c>
      <c r="F227" s="16">
        <v>30</v>
      </c>
      <c r="G227" s="16">
        <v>30</v>
      </c>
      <c r="H227" s="18">
        <f t="shared" si="7"/>
        <v>0</v>
      </c>
      <c r="I227" s="19">
        <f t="shared" si="1"/>
        <v>0</v>
      </c>
      <c r="J227" s="16">
        <v>0</v>
      </c>
      <c r="K227" s="20">
        <v>0</v>
      </c>
      <c r="L227" s="21"/>
      <c r="M227" s="21"/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22">
        <v>35000</v>
      </c>
      <c r="T227" s="19">
        <f t="shared" si="2"/>
        <v>0</v>
      </c>
      <c r="U227" s="19">
        <f t="shared" si="3"/>
        <v>35000</v>
      </c>
      <c r="V227" s="22">
        <v>35000</v>
      </c>
      <c r="W227" s="31">
        <v>0</v>
      </c>
      <c r="X227" s="22">
        <v>0</v>
      </c>
      <c r="Y227" s="22">
        <v>0</v>
      </c>
      <c r="Z227" s="22">
        <v>0</v>
      </c>
      <c r="AA227" s="22">
        <v>0</v>
      </c>
      <c r="AB227" s="32">
        <v>5000</v>
      </c>
      <c r="AC227" s="22">
        <v>0</v>
      </c>
      <c r="AD227" s="22">
        <v>0</v>
      </c>
      <c r="AE227" s="22">
        <v>0</v>
      </c>
      <c r="AF227" s="22">
        <v>15000</v>
      </c>
      <c r="AG227" s="22">
        <v>0</v>
      </c>
      <c r="AH227" s="22">
        <v>0</v>
      </c>
      <c r="AI227" s="22">
        <v>0</v>
      </c>
      <c r="AJ227" s="22">
        <v>0</v>
      </c>
      <c r="AK227" s="22">
        <v>0</v>
      </c>
      <c r="AL227" s="22">
        <v>0</v>
      </c>
      <c r="AM227" s="22">
        <v>0</v>
      </c>
      <c r="AN227" s="22">
        <v>0</v>
      </c>
      <c r="AO227" s="22">
        <v>0</v>
      </c>
      <c r="AP227" s="22">
        <v>0</v>
      </c>
      <c r="AQ227" s="22">
        <v>0</v>
      </c>
      <c r="AR227" s="22">
        <v>0</v>
      </c>
      <c r="AS227" s="22">
        <v>0</v>
      </c>
      <c r="AT227" s="22">
        <v>0</v>
      </c>
      <c r="AU227" s="19">
        <f t="shared" si="4"/>
        <v>20000</v>
      </c>
      <c r="AV227" s="22">
        <f>20000-5000</f>
        <v>15000</v>
      </c>
      <c r="AW227" s="24" t="s">
        <v>54</v>
      </c>
      <c r="AX227" s="25">
        <v>45789</v>
      </c>
      <c r="AY227" s="15"/>
      <c r="AZ227" s="26"/>
      <c r="BA227" s="27">
        <f t="shared" si="8"/>
        <v>0</v>
      </c>
      <c r="BB227" s="14"/>
      <c r="BC227" s="28"/>
    </row>
    <row r="228" spans="1:55" ht="56.4" x14ac:dyDescent="0.4">
      <c r="A228" s="15">
        <v>227</v>
      </c>
      <c r="B228" s="16">
        <v>40005</v>
      </c>
      <c r="C228" s="17" t="s">
        <v>408</v>
      </c>
      <c r="D228" s="16" t="s">
        <v>412</v>
      </c>
      <c r="E228" s="16" t="s">
        <v>413</v>
      </c>
      <c r="F228" s="16">
        <v>30</v>
      </c>
      <c r="G228" s="16">
        <v>30</v>
      </c>
      <c r="H228" s="18">
        <f t="shared" si="7"/>
        <v>0</v>
      </c>
      <c r="I228" s="19">
        <f t="shared" si="1"/>
        <v>0</v>
      </c>
      <c r="J228" s="16">
        <v>0</v>
      </c>
      <c r="K228" s="20">
        <v>0</v>
      </c>
      <c r="L228" s="21"/>
      <c r="M228" s="21"/>
      <c r="N228" s="16">
        <v>0</v>
      </c>
      <c r="O228" s="16">
        <v>0</v>
      </c>
      <c r="P228" s="16">
        <v>0</v>
      </c>
      <c r="Q228" s="16">
        <v>0</v>
      </c>
      <c r="R228" s="16">
        <v>0</v>
      </c>
      <c r="S228" s="22">
        <v>30000</v>
      </c>
      <c r="T228" s="19">
        <f t="shared" si="2"/>
        <v>0</v>
      </c>
      <c r="U228" s="19">
        <f t="shared" si="3"/>
        <v>30000</v>
      </c>
      <c r="V228" s="22">
        <v>30000</v>
      </c>
      <c r="W228" s="31">
        <v>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22">
        <v>0</v>
      </c>
      <c r="AE228" s="22">
        <v>0</v>
      </c>
      <c r="AF228" s="22">
        <v>5000</v>
      </c>
      <c r="AG228" s="22">
        <v>0</v>
      </c>
      <c r="AH228" s="22">
        <v>0</v>
      </c>
      <c r="AI228" s="22">
        <v>0</v>
      </c>
      <c r="AJ228" s="22">
        <v>0</v>
      </c>
      <c r="AK228" s="22">
        <v>0</v>
      </c>
      <c r="AL228" s="22">
        <v>0</v>
      </c>
      <c r="AM228" s="22">
        <v>0</v>
      </c>
      <c r="AN228" s="22">
        <v>0</v>
      </c>
      <c r="AO228" s="22">
        <v>0</v>
      </c>
      <c r="AP228" s="22">
        <v>0</v>
      </c>
      <c r="AQ228" s="22">
        <v>0</v>
      </c>
      <c r="AR228" s="22">
        <v>0</v>
      </c>
      <c r="AS228" s="22">
        <v>0</v>
      </c>
      <c r="AT228" s="22">
        <v>0</v>
      </c>
      <c r="AU228" s="19">
        <f t="shared" si="4"/>
        <v>5000</v>
      </c>
      <c r="AV228" s="22">
        <v>25000</v>
      </c>
      <c r="AW228" s="24" t="s">
        <v>54</v>
      </c>
      <c r="AX228" s="25">
        <v>45789</v>
      </c>
      <c r="AY228" s="15"/>
      <c r="AZ228" s="26"/>
      <c r="BA228" s="27">
        <f t="shared" si="8"/>
        <v>0</v>
      </c>
      <c r="BB228" s="14"/>
      <c r="BC228" s="28"/>
    </row>
    <row r="229" spans="1:55" ht="28.8" x14ac:dyDescent="0.4">
      <c r="A229" s="15">
        <v>228</v>
      </c>
      <c r="B229" s="16">
        <v>40008</v>
      </c>
      <c r="C229" s="17" t="s">
        <v>408</v>
      </c>
      <c r="D229" s="16" t="s">
        <v>414</v>
      </c>
      <c r="E229" s="16" t="s">
        <v>415</v>
      </c>
      <c r="F229" s="16">
        <v>30</v>
      </c>
      <c r="G229" s="16">
        <v>30</v>
      </c>
      <c r="H229" s="18">
        <f t="shared" si="7"/>
        <v>0</v>
      </c>
      <c r="I229" s="19">
        <f t="shared" si="1"/>
        <v>0</v>
      </c>
      <c r="J229" s="16">
        <v>7</v>
      </c>
      <c r="K229" s="20">
        <v>3</v>
      </c>
      <c r="L229" s="21"/>
      <c r="M229" s="21"/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22">
        <v>25000</v>
      </c>
      <c r="T229" s="19">
        <f t="shared" si="2"/>
        <v>2500</v>
      </c>
      <c r="U229" s="19">
        <f t="shared" si="3"/>
        <v>22500</v>
      </c>
      <c r="V229" s="22">
        <v>19167</v>
      </c>
      <c r="W229" s="31">
        <v>3333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0</v>
      </c>
      <c r="AE229" s="22">
        <v>0</v>
      </c>
      <c r="AF229" s="22">
        <v>10000</v>
      </c>
      <c r="AG229" s="22">
        <v>0</v>
      </c>
      <c r="AH229" s="22">
        <v>0</v>
      </c>
      <c r="AI229" s="22">
        <v>0</v>
      </c>
      <c r="AJ229" s="22">
        <v>0</v>
      </c>
      <c r="AK229" s="22">
        <v>0</v>
      </c>
      <c r="AL229" s="22">
        <v>0</v>
      </c>
      <c r="AM229" s="22">
        <v>0</v>
      </c>
      <c r="AN229" s="22">
        <v>0</v>
      </c>
      <c r="AO229" s="22">
        <v>0</v>
      </c>
      <c r="AP229" s="22">
        <v>0</v>
      </c>
      <c r="AQ229" s="22">
        <v>0</v>
      </c>
      <c r="AR229" s="22">
        <v>0</v>
      </c>
      <c r="AS229" s="22">
        <v>0</v>
      </c>
      <c r="AT229" s="22">
        <v>0</v>
      </c>
      <c r="AU229" s="19">
        <f t="shared" si="4"/>
        <v>10000</v>
      </c>
      <c r="AV229" s="22">
        <v>12500</v>
      </c>
      <c r="AW229" s="24" t="s">
        <v>54</v>
      </c>
      <c r="AX229" s="25">
        <v>45789</v>
      </c>
      <c r="AY229" s="15"/>
      <c r="AZ229" s="26"/>
      <c r="BA229" s="27">
        <f t="shared" si="8"/>
        <v>0</v>
      </c>
      <c r="BB229" s="14"/>
      <c r="BC229" s="28"/>
    </row>
    <row r="230" spans="1:55" ht="21" x14ac:dyDescent="0.4">
      <c r="A230" s="15">
        <v>229</v>
      </c>
      <c r="B230" s="16">
        <v>40009</v>
      </c>
      <c r="C230" s="17" t="s">
        <v>408</v>
      </c>
      <c r="D230" s="16" t="s">
        <v>408</v>
      </c>
      <c r="E230" s="16" t="s">
        <v>416</v>
      </c>
      <c r="F230" s="16">
        <v>30</v>
      </c>
      <c r="G230" s="16">
        <v>30</v>
      </c>
      <c r="H230" s="18">
        <f t="shared" si="7"/>
        <v>0</v>
      </c>
      <c r="I230" s="19">
        <f t="shared" si="1"/>
        <v>0</v>
      </c>
      <c r="J230" s="16">
        <v>0</v>
      </c>
      <c r="K230" s="20">
        <v>0</v>
      </c>
      <c r="L230" s="21"/>
      <c r="M230" s="21"/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22">
        <v>20000</v>
      </c>
      <c r="T230" s="19">
        <f t="shared" si="2"/>
        <v>0</v>
      </c>
      <c r="U230" s="19">
        <f t="shared" si="3"/>
        <v>20000</v>
      </c>
      <c r="V230" s="22">
        <v>20000</v>
      </c>
      <c r="W230" s="31">
        <v>0</v>
      </c>
      <c r="X230" s="22">
        <v>0</v>
      </c>
      <c r="Y230" s="22">
        <v>0</v>
      </c>
      <c r="Z230" s="22">
        <v>0</v>
      </c>
      <c r="AA230" s="22">
        <v>0</v>
      </c>
      <c r="AB230" s="22">
        <v>0</v>
      </c>
      <c r="AC230" s="22">
        <v>0</v>
      </c>
      <c r="AD230" s="22">
        <v>0</v>
      </c>
      <c r="AE230" s="22">
        <v>0</v>
      </c>
      <c r="AF230" s="22">
        <v>5000</v>
      </c>
      <c r="AG230" s="22">
        <v>0</v>
      </c>
      <c r="AH230" s="22">
        <v>0</v>
      </c>
      <c r="AI230" s="22">
        <v>0</v>
      </c>
      <c r="AJ230" s="22">
        <v>0</v>
      </c>
      <c r="AK230" s="22">
        <v>0</v>
      </c>
      <c r="AL230" s="22">
        <v>0</v>
      </c>
      <c r="AM230" s="22">
        <v>0</v>
      </c>
      <c r="AN230" s="22">
        <v>0</v>
      </c>
      <c r="AO230" s="22">
        <v>0</v>
      </c>
      <c r="AP230" s="22">
        <v>0</v>
      </c>
      <c r="AQ230" s="22">
        <v>0</v>
      </c>
      <c r="AR230" s="22">
        <v>0</v>
      </c>
      <c r="AS230" s="22">
        <v>0</v>
      </c>
      <c r="AT230" s="22">
        <v>0</v>
      </c>
      <c r="AU230" s="19">
        <f t="shared" si="4"/>
        <v>5000</v>
      </c>
      <c r="AV230" s="22">
        <v>15000</v>
      </c>
      <c r="AW230" s="24" t="s">
        <v>54</v>
      </c>
      <c r="AX230" s="25">
        <v>45789</v>
      </c>
      <c r="AY230" s="15"/>
      <c r="AZ230" s="26"/>
      <c r="BA230" s="27">
        <f t="shared" si="8"/>
        <v>0</v>
      </c>
      <c r="BB230" s="14"/>
      <c r="BC230" s="28"/>
    </row>
    <row r="231" spans="1:55" ht="28.8" x14ac:dyDescent="0.4">
      <c r="A231" s="15">
        <v>230</v>
      </c>
      <c r="B231" s="16">
        <v>40011</v>
      </c>
      <c r="C231" s="17" t="s">
        <v>408</v>
      </c>
      <c r="D231" s="16" t="s">
        <v>408</v>
      </c>
      <c r="E231" s="16" t="s">
        <v>417</v>
      </c>
      <c r="F231" s="16">
        <v>30</v>
      </c>
      <c r="G231" s="16">
        <v>30</v>
      </c>
      <c r="H231" s="18">
        <f t="shared" si="7"/>
        <v>0</v>
      </c>
      <c r="I231" s="19">
        <f t="shared" si="1"/>
        <v>0</v>
      </c>
      <c r="J231" s="16">
        <v>14</v>
      </c>
      <c r="K231" s="20">
        <v>7</v>
      </c>
      <c r="L231" s="21"/>
      <c r="M231" s="21"/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22">
        <v>25000</v>
      </c>
      <c r="T231" s="19">
        <f t="shared" si="2"/>
        <v>5833.3333333333339</v>
      </c>
      <c r="U231" s="19">
        <f t="shared" si="3"/>
        <v>19166</v>
      </c>
      <c r="V231" s="22">
        <v>13333</v>
      </c>
      <c r="W231" s="31">
        <v>5833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  <c r="AF231" s="22">
        <v>5000</v>
      </c>
      <c r="AG231" s="22">
        <v>0</v>
      </c>
      <c r="AH231" s="22">
        <v>0</v>
      </c>
      <c r="AI231" s="22">
        <v>0</v>
      </c>
      <c r="AJ231" s="22">
        <v>0</v>
      </c>
      <c r="AK231" s="22">
        <v>0</v>
      </c>
      <c r="AL231" s="22">
        <v>0</v>
      </c>
      <c r="AM231" s="22">
        <v>0</v>
      </c>
      <c r="AN231" s="22">
        <v>0</v>
      </c>
      <c r="AO231" s="22">
        <v>0</v>
      </c>
      <c r="AP231" s="22">
        <v>0</v>
      </c>
      <c r="AQ231" s="22">
        <v>0</v>
      </c>
      <c r="AR231" s="22">
        <v>0</v>
      </c>
      <c r="AS231" s="22">
        <v>0</v>
      </c>
      <c r="AT231" s="22">
        <v>0</v>
      </c>
      <c r="AU231" s="19">
        <f t="shared" si="4"/>
        <v>5000</v>
      </c>
      <c r="AV231" s="22">
        <v>14166.67</v>
      </c>
      <c r="AW231" s="24" t="s">
        <v>54</v>
      </c>
      <c r="AX231" s="25">
        <v>45789</v>
      </c>
      <c r="AY231" s="15"/>
      <c r="AZ231" s="26"/>
      <c r="BA231" s="27">
        <f t="shared" si="8"/>
        <v>-3.3333333358314121E-3</v>
      </c>
      <c r="BB231" s="14"/>
      <c r="BC231" s="28"/>
    </row>
    <row r="232" spans="1:55" ht="28.8" x14ac:dyDescent="0.4">
      <c r="A232" s="15">
        <v>231</v>
      </c>
      <c r="B232" s="16">
        <v>80703</v>
      </c>
      <c r="C232" s="17" t="s">
        <v>418</v>
      </c>
      <c r="D232" s="16" t="s">
        <v>419</v>
      </c>
      <c r="E232" s="16" t="s">
        <v>420</v>
      </c>
      <c r="F232" s="16">
        <v>30</v>
      </c>
      <c r="G232" s="16">
        <v>30</v>
      </c>
      <c r="H232" s="18">
        <f t="shared" si="7"/>
        <v>0</v>
      </c>
      <c r="I232" s="19">
        <f t="shared" si="1"/>
        <v>0</v>
      </c>
      <c r="J232" s="16">
        <v>0</v>
      </c>
      <c r="K232" s="20">
        <v>0</v>
      </c>
      <c r="L232" s="21"/>
      <c r="M232" s="21"/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22">
        <v>24000</v>
      </c>
      <c r="T232" s="19">
        <f t="shared" si="2"/>
        <v>0</v>
      </c>
      <c r="U232" s="19">
        <f t="shared" si="3"/>
        <v>24000</v>
      </c>
      <c r="V232" s="22">
        <v>24000</v>
      </c>
      <c r="W232" s="31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22">
        <v>2875</v>
      </c>
      <c r="AD232" s="22">
        <v>0</v>
      </c>
      <c r="AE232" s="22">
        <v>0</v>
      </c>
      <c r="AF232" s="22">
        <v>0</v>
      </c>
      <c r="AG232" s="22">
        <v>0</v>
      </c>
      <c r="AH232" s="22">
        <v>0</v>
      </c>
      <c r="AI232" s="22">
        <v>1050</v>
      </c>
      <c r="AJ232" s="22">
        <v>0</v>
      </c>
      <c r="AK232" s="22">
        <v>0</v>
      </c>
      <c r="AL232" s="22">
        <v>0</v>
      </c>
      <c r="AM232" s="22">
        <v>0</v>
      </c>
      <c r="AN232" s="22">
        <v>0</v>
      </c>
      <c r="AO232" s="22">
        <v>0</v>
      </c>
      <c r="AP232" s="22">
        <v>0</v>
      </c>
      <c r="AQ232" s="22">
        <v>0</v>
      </c>
      <c r="AR232" s="22">
        <v>0</v>
      </c>
      <c r="AS232" s="22">
        <v>0</v>
      </c>
      <c r="AT232" s="22">
        <v>0</v>
      </c>
      <c r="AU232" s="19">
        <f t="shared" si="4"/>
        <v>3925</v>
      </c>
      <c r="AV232" s="22">
        <v>20075</v>
      </c>
      <c r="AW232" s="24" t="s">
        <v>54</v>
      </c>
      <c r="AX232" s="25">
        <v>45789</v>
      </c>
      <c r="AY232" s="15"/>
      <c r="AZ232" s="26"/>
      <c r="BA232" s="27">
        <f t="shared" si="8"/>
        <v>0</v>
      </c>
      <c r="BB232" s="14"/>
      <c r="BC232" s="28"/>
    </row>
    <row r="233" spans="1:55" ht="42.6" x14ac:dyDescent="0.4">
      <c r="A233" s="15">
        <v>232</v>
      </c>
      <c r="B233" s="16">
        <v>80725</v>
      </c>
      <c r="C233" s="17" t="s">
        <v>418</v>
      </c>
      <c r="D233" s="16" t="s">
        <v>419</v>
      </c>
      <c r="E233" s="16" t="s">
        <v>421</v>
      </c>
      <c r="F233" s="16">
        <v>30</v>
      </c>
      <c r="G233" s="16">
        <v>24</v>
      </c>
      <c r="H233" s="18">
        <f t="shared" si="7"/>
        <v>6</v>
      </c>
      <c r="I233" s="19">
        <f t="shared" si="1"/>
        <v>5000</v>
      </c>
      <c r="J233" s="16">
        <v>0</v>
      </c>
      <c r="K233" s="20">
        <v>0</v>
      </c>
      <c r="L233" s="21"/>
      <c r="M233" s="21"/>
      <c r="N233" s="16">
        <v>0</v>
      </c>
      <c r="O233" s="16">
        <v>0</v>
      </c>
      <c r="P233" s="16">
        <v>4</v>
      </c>
      <c r="Q233" s="16">
        <v>0</v>
      </c>
      <c r="R233" s="16">
        <v>2</v>
      </c>
      <c r="S233" s="22">
        <v>25000</v>
      </c>
      <c r="T233" s="19">
        <f t="shared" si="2"/>
        <v>0</v>
      </c>
      <c r="U233" s="19">
        <f t="shared" si="3"/>
        <v>20000</v>
      </c>
      <c r="V233" s="22">
        <v>20000</v>
      </c>
      <c r="W233" s="31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1000</v>
      </c>
      <c r="AD233" s="22">
        <v>0</v>
      </c>
      <c r="AE233" s="22">
        <v>0</v>
      </c>
      <c r="AF233" s="22">
        <v>3000</v>
      </c>
      <c r="AG233" s="22">
        <v>0</v>
      </c>
      <c r="AH233" s="22">
        <v>0</v>
      </c>
      <c r="AI233" s="22">
        <v>840</v>
      </c>
      <c r="AJ233" s="22">
        <v>0</v>
      </c>
      <c r="AK233" s="22">
        <v>0</v>
      </c>
      <c r="AL233" s="22">
        <v>0</v>
      </c>
      <c r="AM233" s="22">
        <v>0</v>
      </c>
      <c r="AN233" s="22">
        <v>0</v>
      </c>
      <c r="AO233" s="22">
        <v>0</v>
      </c>
      <c r="AP233" s="22">
        <v>0</v>
      </c>
      <c r="AQ233" s="22">
        <v>0</v>
      </c>
      <c r="AR233" s="22">
        <v>0</v>
      </c>
      <c r="AS233" s="22">
        <v>0</v>
      </c>
      <c r="AT233" s="22">
        <v>0</v>
      </c>
      <c r="AU233" s="19">
        <f t="shared" si="4"/>
        <v>4840</v>
      </c>
      <c r="AV233" s="22">
        <f>14320+840</f>
        <v>15160</v>
      </c>
      <c r="AW233" s="24" t="s">
        <v>54</v>
      </c>
      <c r="AX233" s="25">
        <v>45792</v>
      </c>
      <c r="AY233" s="15"/>
      <c r="AZ233" s="26"/>
      <c r="BA233" s="27">
        <f t="shared" si="8"/>
        <v>0</v>
      </c>
      <c r="BB233" s="14"/>
      <c r="BC233" s="28"/>
    </row>
    <row r="234" spans="1:55" ht="28.8" x14ac:dyDescent="0.4">
      <c r="A234" s="15">
        <v>233</v>
      </c>
      <c r="B234" s="16">
        <v>80740</v>
      </c>
      <c r="C234" s="17" t="s">
        <v>418</v>
      </c>
      <c r="D234" s="16" t="s">
        <v>419</v>
      </c>
      <c r="E234" s="16" t="s">
        <v>422</v>
      </c>
      <c r="F234" s="16">
        <v>30</v>
      </c>
      <c r="G234" s="16">
        <v>29</v>
      </c>
      <c r="H234" s="18">
        <f t="shared" si="7"/>
        <v>1</v>
      </c>
      <c r="I234" s="19">
        <f t="shared" si="1"/>
        <v>833.33333333333337</v>
      </c>
      <c r="J234" s="16">
        <v>0</v>
      </c>
      <c r="K234" s="20">
        <v>0</v>
      </c>
      <c r="L234" s="21"/>
      <c r="M234" s="21"/>
      <c r="N234" s="16">
        <v>0</v>
      </c>
      <c r="O234" s="16">
        <v>0</v>
      </c>
      <c r="P234" s="16">
        <v>1</v>
      </c>
      <c r="Q234" s="16">
        <v>0</v>
      </c>
      <c r="R234" s="16">
        <v>0</v>
      </c>
      <c r="S234" s="22">
        <v>25000</v>
      </c>
      <c r="T234" s="19">
        <f t="shared" si="2"/>
        <v>0</v>
      </c>
      <c r="U234" s="19">
        <f t="shared" si="3"/>
        <v>24167</v>
      </c>
      <c r="V234" s="22">
        <v>24167</v>
      </c>
      <c r="W234" s="31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2">
        <v>0</v>
      </c>
      <c r="AE234" s="22">
        <v>0</v>
      </c>
      <c r="AF234" s="22">
        <v>3000</v>
      </c>
      <c r="AG234" s="22">
        <v>0</v>
      </c>
      <c r="AH234" s="22">
        <v>0</v>
      </c>
      <c r="AI234" s="22">
        <v>1015</v>
      </c>
      <c r="AJ234" s="22">
        <v>0</v>
      </c>
      <c r="AK234" s="22">
        <v>0</v>
      </c>
      <c r="AL234" s="22">
        <v>0</v>
      </c>
      <c r="AM234" s="22">
        <v>0</v>
      </c>
      <c r="AN234" s="22">
        <v>0</v>
      </c>
      <c r="AO234" s="22">
        <v>0</v>
      </c>
      <c r="AP234" s="22">
        <v>0</v>
      </c>
      <c r="AQ234" s="22">
        <v>0</v>
      </c>
      <c r="AR234" s="22">
        <v>0</v>
      </c>
      <c r="AS234" s="22">
        <v>0</v>
      </c>
      <c r="AT234" s="22">
        <v>0</v>
      </c>
      <c r="AU234" s="19">
        <f t="shared" si="4"/>
        <v>4015</v>
      </c>
      <c r="AV234" s="22">
        <f>19136.67+1015</f>
        <v>20151.669999999998</v>
      </c>
      <c r="AW234" s="24" t="s">
        <v>54</v>
      </c>
      <c r="AX234" s="25">
        <v>45789</v>
      </c>
      <c r="AY234" s="15"/>
      <c r="AZ234" s="26"/>
      <c r="BA234" s="27">
        <f t="shared" si="8"/>
        <v>-3.3333333303744439E-3</v>
      </c>
      <c r="BB234" s="14"/>
      <c r="BC234" s="28"/>
    </row>
    <row r="235" spans="1:55" ht="42.6" x14ac:dyDescent="0.4">
      <c r="A235" s="15">
        <v>234</v>
      </c>
      <c r="B235" s="16">
        <v>80790</v>
      </c>
      <c r="C235" s="17" t="s">
        <v>418</v>
      </c>
      <c r="D235" s="16" t="s">
        <v>419</v>
      </c>
      <c r="E235" s="16" t="s">
        <v>423</v>
      </c>
      <c r="F235" s="16">
        <v>30</v>
      </c>
      <c r="G235" s="16">
        <v>10</v>
      </c>
      <c r="H235" s="18">
        <f t="shared" si="7"/>
        <v>20</v>
      </c>
      <c r="I235" s="19">
        <f t="shared" si="1"/>
        <v>15333.333333333332</v>
      </c>
      <c r="J235" s="16">
        <v>0</v>
      </c>
      <c r="K235" s="20">
        <v>0</v>
      </c>
      <c r="L235" s="21"/>
      <c r="M235" s="21"/>
      <c r="N235" s="16">
        <v>0</v>
      </c>
      <c r="O235" s="16">
        <v>0</v>
      </c>
      <c r="P235" s="16">
        <v>0</v>
      </c>
      <c r="Q235" s="16">
        <v>0</v>
      </c>
      <c r="R235" s="16">
        <v>20</v>
      </c>
      <c r="S235" s="22">
        <v>23000</v>
      </c>
      <c r="T235" s="19">
        <f t="shared" si="2"/>
        <v>0</v>
      </c>
      <c r="U235" s="19">
        <f t="shared" si="3"/>
        <v>7667</v>
      </c>
      <c r="V235" s="22">
        <v>7667</v>
      </c>
      <c r="W235" s="31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0</v>
      </c>
      <c r="AE235" s="22">
        <v>0</v>
      </c>
      <c r="AF235" s="22">
        <v>0</v>
      </c>
      <c r="AG235" s="22">
        <v>0</v>
      </c>
      <c r="AH235" s="22">
        <v>0</v>
      </c>
      <c r="AI235" s="22">
        <v>350</v>
      </c>
      <c r="AJ235" s="22">
        <v>0</v>
      </c>
      <c r="AK235" s="22">
        <v>0</v>
      </c>
      <c r="AL235" s="22">
        <v>0</v>
      </c>
      <c r="AM235" s="22">
        <v>0</v>
      </c>
      <c r="AN235" s="22">
        <v>0</v>
      </c>
      <c r="AO235" s="22">
        <v>0</v>
      </c>
      <c r="AP235" s="22">
        <v>0</v>
      </c>
      <c r="AQ235" s="22">
        <v>0</v>
      </c>
      <c r="AR235" s="22">
        <v>0</v>
      </c>
      <c r="AS235" s="22">
        <v>0</v>
      </c>
      <c r="AT235" s="22">
        <v>0</v>
      </c>
      <c r="AU235" s="19">
        <f t="shared" si="4"/>
        <v>350</v>
      </c>
      <c r="AV235" s="22">
        <f>5951.67+1365</f>
        <v>7316.67</v>
      </c>
      <c r="AW235" s="24" t="s">
        <v>54</v>
      </c>
      <c r="AX235" s="25">
        <v>45790</v>
      </c>
      <c r="AY235" s="15"/>
      <c r="AZ235" s="26"/>
      <c r="BA235" s="27">
        <f t="shared" si="8"/>
        <v>-3.3333333340124227E-3</v>
      </c>
      <c r="BB235" s="14"/>
      <c r="BC235" s="28"/>
    </row>
    <row r="236" spans="1:55" ht="28.8" x14ac:dyDescent="0.4">
      <c r="A236" s="15">
        <v>235</v>
      </c>
      <c r="B236" s="16">
        <v>80791</v>
      </c>
      <c r="C236" s="17" t="s">
        <v>418</v>
      </c>
      <c r="D236" s="16" t="s">
        <v>419</v>
      </c>
      <c r="E236" s="16" t="s">
        <v>424</v>
      </c>
      <c r="F236" s="16">
        <v>30</v>
      </c>
      <c r="G236" s="16">
        <v>7</v>
      </c>
      <c r="H236" s="18">
        <f t="shared" si="7"/>
        <v>23</v>
      </c>
      <c r="I236" s="19">
        <f t="shared" si="1"/>
        <v>17633.333333333332</v>
      </c>
      <c r="J236" s="16">
        <v>0</v>
      </c>
      <c r="K236" s="20">
        <v>0</v>
      </c>
      <c r="L236" s="21"/>
      <c r="M236" s="21"/>
      <c r="N236" s="16">
        <v>0</v>
      </c>
      <c r="O236" s="16">
        <v>0</v>
      </c>
      <c r="P236" s="16">
        <v>0</v>
      </c>
      <c r="Q236" s="16">
        <v>0</v>
      </c>
      <c r="R236" s="16">
        <v>23</v>
      </c>
      <c r="S236" s="22">
        <v>23000</v>
      </c>
      <c r="T236" s="19">
        <f t="shared" si="2"/>
        <v>0</v>
      </c>
      <c r="U236" s="19">
        <f t="shared" si="3"/>
        <v>5367</v>
      </c>
      <c r="V236" s="22">
        <v>5367</v>
      </c>
      <c r="W236" s="31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0</v>
      </c>
      <c r="AH236" s="22">
        <v>0</v>
      </c>
      <c r="AI236" s="22">
        <v>245</v>
      </c>
      <c r="AJ236" s="22">
        <v>0</v>
      </c>
      <c r="AK236" s="22">
        <v>0</v>
      </c>
      <c r="AL236" s="22">
        <v>0</v>
      </c>
      <c r="AM236" s="22">
        <v>0</v>
      </c>
      <c r="AN236" s="22">
        <v>0</v>
      </c>
      <c r="AO236" s="22">
        <v>0</v>
      </c>
      <c r="AP236" s="22">
        <v>0</v>
      </c>
      <c r="AQ236" s="22">
        <v>0</v>
      </c>
      <c r="AR236" s="22">
        <v>0</v>
      </c>
      <c r="AS236" s="22">
        <v>0</v>
      </c>
      <c r="AT236" s="22">
        <v>0</v>
      </c>
      <c r="AU236" s="19">
        <f t="shared" si="4"/>
        <v>245</v>
      </c>
      <c r="AV236" s="22">
        <f>4876.67+245</f>
        <v>5121.67</v>
      </c>
      <c r="AW236" s="24" t="s">
        <v>54</v>
      </c>
      <c r="AX236" s="25">
        <v>45789</v>
      </c>
      <c r="AY236" s="15"/>
      <c r="AZ236" s="26"/>
      <c r="BA236" s="27">
        <f t="shared" si="8"/>
        <v>-3.3333333340124227E-3</v>
      </c>
      <c r="BB236" s="14"/>
      <c r="BC236" s="28"/>
    </row>
    <row r="237" spans="1:55" ht="28.8" x14ac:dyDescent="0.4">
      <c r="A237" s="15">
        <v>236</v>
      </c>
      <c r="B237" s="16">
        <v>80570</v>
      </c>
      <c r="C237" s="17" t="s">
        <v>425</v>
      </c>
      <c r="D237" s="16" t="s">
        <v>426</v>
      </c>
      <c r="E237" s="16" t="s">
        <v>427</v>
      </c>
      <c r="F237" s="16">
        <v>30</v>
      </c>
      <c r="G237" s="16">
        <v>25</v>
      </c>
      <c r="H237" s="18">
        <f t="shared" si="7"/>
        <v>5</v>
      </c>
      <c r="I237" s="19">
        <f t="shared" si="1"/>
        <v>4166.666666666667</v>
      </c>
      <c r="J237" s="16">
        <v>1</v>
      </c>
      <c r="K237" s="20">
        <v>0</v>
      </c>
      <c r="L237" s="21"/>
      <c r="M237" s="21"/>
      <c r="N237" s="16">
        <v>0</v>
      </c>
      <c r="O237" s="16">
        <v>0</v>
      </c>
      <c r="P237" s="16">
        <v>0</v>
      </c>
      <c r="Q237" s="16">
        <v>0</v>
      </c>
      <c r="R237" s="16">
        <v>5</v>
      </c>
      <c r="S237" s="22">
        <v>25000</v>
      </c>
      <c r="T237" s="19">
        <f t="shared" si="2"/>
        <v>0</v>
      </c>
      <c r="U237" s="19">
        <f t="shared" si="3"/>
        <v>20833</v>
      </c>
      <c r="V237" s="22">
        <v>20000</v>
      </c>
      <c r="W237" s="31">
        <v>833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5000</v>
      </c>
      <c r="AG237" s="22">
        <v>0</v>
      </c>
      <c r="AH237" s="22">
        <v>0</v>
      </c>
      <c r="AI237" s="22">
        <v>0</v>
      </c>
      <c r="AJ237" s="22">
        <v>0</v>
      </c>
      <c r="AK237" s="22">
        <v>0</v>
      </c>
      <c r="AL237" s="22">
        <v>0</v>
      </c>
      <c r="AM237" s="22">
        <v>0</v>
      </c>
      <c r="AN237" s="22">
        <v>0</v>
      </c>
      <c r="AO237" s="22">
        <v>0</v>
      </c>
      <c r="AP237" s="22">
        <v>0</v>
      </c>
      <c r="AQ237" s="22">
        <v>0</v>
      </c>
      <c r="AR237" s="22">
        <v>0</v>
      </c>
      <c r="AS237" s="22">
        <v>0</v>
      </c>
      <c r="AT237" s="22">
        <v>0</v>
      </c>
      <c r="AU237" s="19">
        <f t="shared" si="4"/>
        <v>5000</v>
      </c>
      <c r="AV237" s="22">
        <v>15833.33</v>
      </c>
      <c r="AW237" s="24"/>
      <c r="AX237" s="34"/>
      <c r="AY237" s="15"/>
      <c r="AZ237" s="26"/>
      <c r="BA237" s="27">
        <f t="shared" si="8"/>
        <v>3.3333333358314121E-3</v>
      </c>
      <c r="BB237" s="14"/>
      <c r="BC237" s="28"/>
    </row>
    <row r="238" spans="1:55" ht="56.4" x14ac:dyDescent="0.4">
      <c r="A238" s="15">
        <v>237</v>
      </c>
      <c r="B238" s="16">
        <v>11011</v>
      </c>
      <c r="C238" s="17" t="s">
        <v>428</v>
      </c>
      <c r="D238" s="16" t="s">
        <v>429</v>
      </c>
      <c r="E238" s="16" t="s">
        <v>430</v>
      </c>
      <c r="F238" s="16">
        <v>30</v>
      </c>
      <c r="G238" s="16">
        <v>30</v>
      </c>
      <c r="H238" s="18">
        <f t="shared" si="7"/>
        <v>0</v>
      </c>
      <c r="I238" s="19">
        <f t="shared" si="1"/>
        <v>0</v>
      </c>
      <c r="J238" s="16">
        <v>1</v>
      </c>
      <c r="K238" s="20">
        <v>0</v>
      </c>
      <c r="L238" s="21"/>
      <c r="M238" s="21"/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22">
        <v>42350</v>
      </c>
      <c r="T238" s="19">
        <f t="shared" si="2"/>
        <v>0</v>
      </c>
      <c r="U238" s="19">
        <f t="shared" si="3"/>
        <v>42350</v>
      </c>
      <c r="V238" s="22">
        <v>40938</v>
      </c>
      <c r="W238" s="31">
        <v>1412</v>
      </c>
      <c r="X238" s="22">
        <v>0</v>
      </c>
      <c r="Y238" s="22">
        <v>0</v>
      </c>
      <c r="Z238" s="22">
        <v>0</v>
      </c>
      <c r="AA238" s="22">
        <v>0</v>
      </c>
      <c r="AB238" s="22">
        <v>0</v>
      </c>
      <c r="AC238" s="22">
        <v>0</v>
      </c>
      <c r="AD238" s="22">
        <v>0</v>
      </c>
      <c r="AE238" s="22">
        <v>0</v>
      </c>
      <c r="AF238" s="22">
        <v>0</v>
      </c>
      <c r="AG238" s="22">
        <v>0</v>
      </c>
      <c r="AH238" s="22">
        <v>0</v>
      </c>
      <c r="AI238" s="22">
        <v>0</v>
      </c>
      <c r="AJ238" s="22">
        <v>0</v>
      </c>
      <c r="AK238" s="22">
        <v>0</v>
      </c>
      <c r="AL238" s="22">
        <v>0</v>
      </c>
      <c r="AM238" s="22">
        <v>0</v>
      </c>
      <c r="AN238" s="22">
        <v>0</v>
      </c>
      <c r="AO238" s="22">
        <v>0</v>
      </c>
      <c r="AP238" s="22">
        <v>0</v>
      </c>
      <c r="AQ238" s="22">
        <v>0</v>
      </c>
      <c r="AR238" s="22">
        <v>0</v>
      </c>
      <c r="AS238" s="22">
        <v>0</v>
      </c>
      <c r="AT238" s="22">
        <v>0</v>
      </c>
      <c r="AU238" s="19">
        <f t="shared" si="4"/>
        <v>0</v>
      </c>
      <c r="AV238" s="22">
        <v>42350</v>
      </c>
      <c r="AW238" s="24" t="s">
        <v>54</v>
      </c>
      <c r="AX238" s="25">
        <v>45789</v>
      </c>
      <c r="AY238" s="15"/>
      <c r="AZ238" s="26"/>
      <c r="BA238" s="27">
        <f t="shared" si="8"/>
        <v>0</v>
      </c>
      <c r="BB238" s="14"/>
      <c r="BC238" s="28"/>
    </row>
    <row r="239" spans="1:55" ht="28.8" x14ac:dyDescent="0.4">
      <c r="A239" s="15">
        <v>238</v>
      </c>
      <c r="B239" s="16">
        <v>5038</v>
      </c>
      <c r="C239" s="17" t="s">
        <v>428</v>
      </c>
      <c r="D239" s="16" t="s">
        <v>431</v>
      </c>
      <c r="E239" s="16" t="s">
        <v>432</v>
      </c>
      <c r="F239" s="16">
        <v>30</v>
      </c>
      <c r="G239" s="16">
        <v>30</v>
      </c>
      <c r="H239" s="18">
        <f t="shared" si="7"/>
        <v>0</v>
      </c>
      <c r="I239" s="19">
        <f t="shared" si="1"/>
        <v>0</v>
      </c>
      <c r="J239" s="16">
        <v>18</v>
      </c>
      <c r="K239" s="20">
        <v>9</v>
      </c>
      <c r="L239" s="21"/>
      <c r="M239" s="21"/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22">
        <v>29040</v>
      </c>
      <c r="T239" s="19">
        <f t="shared" si="2"/>
        <v>8712</v>
      </c>
      <c r="U239" s="19">
        <f t="shared" si="3"/>
        <v>20328</v>
      </c>
      <c r="V239" s="22">
        <v>11616</v>
      </c>
      <c r="W239" s="31">
        <v>8712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  <c r="AH239" s="22">
        <v>0</v>
      </c>
      <c r="AI239" s="22">
        <v>0</v>
      </c>
      <c r="AJ239" s="22">
        <v>0</v>
      </c>
      <c r="AK239" s="22">
        <v>0</v>
      </c>
      <c r="AL239" s="22">
        <v>0</v>
      </c>
      <c r="AM239" s="22">
        <v>0</v>
      </c>
      <c r="AN239" s="22">
        <v>0</v>
      </c>
      <c r="AO239" s="22">
        <v>0</v>
      </c>
      <c r="AP239" s="22">
        <v>0</v>
      </c>
      <c r="AQ239" s="22">
        <v>0</v>
      </c>
      <c r="AR239" s="22">
        <v>0</v>
      </c>
      <c r="AS239" s="22">
        <v>0</v>
      </c>
      <c r="AT239" s="22">
        <v>0</v>
      </c>
      <c r="AU239" s="19">
        <f t="shared" si="4"/>
        <v>0</v>
      </c>
      <c r="AV239" s="22">
        <v>20328</v>
      </c>
      <c r="AW239" s="24" t="s">
        <v>54</v>
      </c>
      <c r="AX239" s="25">
        <v>45792</v>
      </c>
      <c r="AY239" s="15"/>
      <c r="AZ239" s="26"/>
      <c r="BA239" s="27">
        <f t="shared" si="8"/>
        <v>0</v>
      </c>
      <c r="BB239" s="14"/>
      <c r="BC239" s="28"/>
    </row>
    <row r="240" spans="1:55" ht="28.8" x14ac:dyDescent="0.4">
      <c r="A240" s="15">
        <v>239</v>
      </c>
      <c r="B240" s="16">
        <v>11015</v>
      </c>
      <c r="C240" s="17" t="s">
        <v>428</v>
      </c>
      <c r="D240" s="16" t="s">
        <v>433</v>
      </c>
      <c r="E240" s="16" t="s">
        <v>434</v>
      </c>
      <c r="F240" s="16">
        <v>30</v>
      </c>
      <c r="G240" s="16">
        <v>29</v>
      </c>
      <c r="H240" s="18">
        <f t="shared" si="7"/>
        <v>1</v>
      </c>
      <c r="I240" s="19">
        <f t="shared" si="1"/>
        <v>883.33333333333337</v>
      </c>
      <c r="J240" s="16">
        <v>3</v>
      </c>
      <c r="K240" s="33">
        <v>1</v>
      </c>
      <c r="L240" s="21"/>
      <c r="M240" s="21"/>
      <c r="N240" s="16">
        <v>0</v>
      </c>
      <c r="O240" s="16">
        <v>0</v>
      </c>
      <c r="P240" s="16">
        <v>0</v>
      </c>
      <c r="Q240" s="16">
        <v>0</v>
      </c>
      <c r="R240" s="16">
        <v>1</v>
      </c>
      <c r="S240" s="22">
        <v>26500</v>
      </c>
      <c r="T240" s="19">
        <f t="shared" si="2"/>
        <v>883.33333333333337</v>
      </c>
      <c r="U240" s="19">
        <f t="shared" si="3"/>
        <v>25617</v>
      </c>
      <c r="V240" s="22">
        <v>22967</v>
      </c>
      <c r="W240" s="31">
        <f>1767+883</f>
        <v>2650</v>
      </c>
      <c r="X240" s="22">
        <v>0</v>
      </c>
      <c r="Y240" s="22">
        <v>0</v>
      </c>
      <c r="Z240" s="22">
        <v>0</v>
      </c>
      <c r="AA240" s="22">
        <v>0</v>
      </c>
      <c r="AB240" s="22">
        <v>0</v>
      </c>
      <c r="AC240" s="22">
        <v>0</v>
      </c>
      <c r="AD240" s="22">
        <v>0</v>
      </c>
      <c r="AE240" s="22">
        <v>0</v>
      </c>
      <c r="AF240" s="22">
        <v>0</v>
      </c>
      <c r="AG240" s="22">
        <v>0</v>
      </c>
      <c r="AH240" s="22">
        <v>0</v>
      </c>
      <c r="AI240" s="22">
        <v>0</v>
      </c>
      <c r="AJ240" s="22">
        <v>0</v>
      </c>
      <c r="AK240" s="22">
        <v>0</v>
      </c>
      <c r="AL240" s="22">
        <v>0</v>
      </c>
      <c r="AM240" s="22">
        <v>0</v>
      </c>
      <c r="AN240" s="22">
        <v>0</v>
      </c>
      <c r="AO240" s="22">
        <v>0</v>
      </c>
      <c r="AP240" s="22">
        <v>0</v>
      </c>
      <c r="AQ240" s="22">
        <v>0</v>
      </c>
      <c r="AR240" s="22">
        <v>0</v>
      </c>
      <c r="AS240" s="22">
        <v>0</v>
      </c>
      <c r="AT240" s="22">
        <v>0</v>
      </c>
      <c r="AU240" s="19">
        <f t="shared" si="4"/>
        <v>0</v>
      </c>
      <c r="AV240" s="22">
        <f>24733.33+883+1</f>
        <v>25617.33</v>
      </c>
      <c r="AW240" s="29" t="s">
        <v>54</v>
      </c>
      <c r="AX240" s="25">
        <v>45790</v>
      </c>
      <c r="AY240" s="15"/>
      <c r="AZ240" s="26"/>
      <c r="BA240" s="27">
        <f t="shared" si="8"/>
        <v>-883.99666666666599</v>
      </c>
      <c r="BB240" s="14"/>
      <c r="BC240" s="28"/>
    </row>
    <row r="241" spans="1:55" ht="42.6" x14ac:dyDescent="0.4">
      <c r="A241" s="15">
        <v>240</v>
      </c>
      <c r="B241" s="16">
        <v>11004</v>
      </c>
      <c r="C241" s="17" t="s">
        <v>428</v>
      </c>
      <c r="D241" s="16" t="s">
        <v>428</v>
      </c>
      <c r="E241" s="16" t="s">
        <v>435</v>
      </c>
      <c r="F241" s="16">
        <v>30</v>
      </c>
      <c r="G241" s="16">
        <v>26</v>
      </c>
      <c r="H241" s="18">
        <f t="shared" si="7"/>
        <v>4</v>
      </c>
      <c r="I241" s="19">
        <f t="shared" si="1"/>
        <v>3666.6666666666665</v>
      </c>
      <c r="J241" s="16">
        <v>1</v>
      </c>
      <c r="K241" s="20">
        <v>0</v>
      </c>
      <c r="L241" s="21"/>
      <c r="M241" s="21"/>
      <c r="N241" s="16">
        <v>0</v>
      </c>
      <c r="O241" s="16">
        <v>0</v>
      </c>
      <c r="P241" s="16">
        <v>0</v>
      </c>
      <c r="Q241" s="16">
        <v>0</v>
      </c>
      <c r="R241" s="16">
        <v>4</v>
      </c>
      <c r="S241" s="22">
        <v>27500</v>
      </c>
      <c r="T241" s="19">
        <f t="shared" si="2"/>
        <v>0</v>
      </c>
      <c r="U241" s="19">
        <f t="shared" si="3"/>
        <v>23834</v>
      </c>
      <c r="V241" s="22">
        <v>22917</v>
      </c>
      <c r="W241" s="31">
        <v>917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0</v>
      </c>
      <c r="AE241" s="22">
        <v>0</v>
      </c>
      <c r="AF241" s="22">
        <v>0</v>
      </c>
      <c r="AG241" s="22">
        <v>0</v>
      </c>
      <c r="AH241" s="22">
        <v>0</v>
      </c>
      <c r="AI241" s="22">
        <v>0</v>
      </c>
      <c r="AJ241" s="22">
        <v>0</v>
      </c>
      <c r="AK241" s="22">
        <v>0</v>
      </c>
      <c r="AL241" s="22">
        <v>0</v>
      </c>
      <c r="AM241" s="22">
        <v>0</v>
      </c>
      <c r="AN241" s="22">
        <v>0</v>
      </c>
      <c r="AO241" s="22">
        <v>0</v>
      </c>
      <c r="AP241" s="22">
        <v>0</v>
      </c>
      <c r="AQ241" s="22">
        <v>0</v>
      </c>
      <c r="AR241" s="22">
        <v>0</v>
      </c>
      <c r="AS241" s="22">
        <v>0</v>
      </c>
      <c r="AT241" s="22">
        <v>0</v>
      </c>
      <c r="AU241" s="19">
        <f t="shared" si="4"/>
        <v>0</v>
      </c>
      <c r="AV241" s="22">
        <v>23833.33</v>
      </c>
      <c r="AW241" s="24" t="s">
        <v>54</v>
      </c>
      <c r="AX241" s="25">
        <v>45790</v>
      </c>
      <c r="AY241" s="15"/>
      <c r="AZ241" s="26"/>
      <c r="BA241" s="27">
        <f t="shared" si="8"/>
        <v>3.3333333303744439E-3</v>
      </c>
      <c r="BB241" s="14"/>
      <c r="BC241" s="28"/>
    </row>
    <row r="242" spans="1:55" ht="28.8" x14ac:dyDescent="0.4">
      <c r="A242" s="15">
        <v>241</v>
      </c>
      <c r="B242" s="16">
        <v>9068</v>
      </c>
      <c r="C242" s="17" t="s">
        <v>436</v>
      </c>
      <c r="D242" s="16" t="s">
        <v>437</v>
      </c>
      <c r="E242" s="16" t="s">
        <v>438</v>
      </c>
      <c r="F242" s="16">
        <v>30</v>
      </c>
      <c r="G242" s="16">
        <v>30</v>
      </c>
      <c r="H242" s="18">
        <f t="shared" si="7"/>
        <v>0</v>
      </c>
      <c r="I242" s="19">
        <f t="shared" si="1"/>
        <v>0</v>
      </c>
      <c r="J242" s="16">
        <v>0</v>
      </c>
      <c r="K242" s="20">
        <v>0</v>
      </c>
      <c r="L242" s="21"/>
      <c r="M242" s="21"/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22">
        <v>50000</v>
      </c>
      <c r="T242" s="19">
        <f t="shared" si="2"/>
        <v>0</v>
      </c>
      <c r="U242" s="19">
        <f t="shared" si="3"/>
        <v>50000</v>
      </c>
      <c r="V242" s="22">
        <v>50000</v>
      </c>
      <c r="W242" s="31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f>4197-3147</f>
        <v>1050</v>
      </c>
      <c r="AD242" s="22">
        <v>0</v>
      </c>
      <c r="AE242" s="22">
        <v>0</v>
      </c>
      <c r="AF242" s="22">
        <v>10000</v>
      </c>
      <c r="AG242" s="22">
        <v>0</v>
      </c>
      <c r="AH242" s="22">
        <v>0</v>
      </c>
      <c r="AI242" s="22">
        <v>0</v>
      </c>
      <c r="AJ242" s="22">
        <v>0</v>
      </c>
      <c r="AK242" s="22">
        <v>0</v>
      </c>
      <c r="AL242" s="22">
        <v>0</v>
      </c>
      <c r="AM242" s="22">
        <v>0</v>
      </c>
      <c r="AN242" s="22">
        <v>0</v>
      </c>
      <c r="AO242" s="22">
        <v>0</v>
      </c>
      <c r="AP242" s="22">
        <v>0</v>
      </c>
      <c r="AQ242" s="22">
        <v>0</v>
      </c>
      <c r="AR242" s="22">
        <v>0</v>
      </c>
      <c r="AS242" s="22">
        <v>0</v>
      </c>
      <c r="AT242" s="22">
        <v>0</v>
      </c>
      <c r="AU242" s="19">
        <f t="shared" si="4"/>
        <v>11050</v>
      </c>
      <c r="AV242" s="22">
        <f>35803+3147</f>
        <v>38950</v>
      </c>
      <c r="AW242" s="24" t="s">
        <v>54</v>
      </c>
      <c r="AX242" s="25">
        <v>45789</v>
      </c>
      <c r="AY242" s="15"/>
      <c r="AZ242" s="26"/>
      <c r="BA242" s="27">
        <f t="shared" si="8"/>
        <v>0</v>
      </c>
      <c r="BB242" s="14"/>
      <c r="BC242" s="28"/>
    </row>
    <row r="243" spans="1:55" ht="28.8" x14ac:dyDescent="0.4">
      <c r="A243" s="15">
        <v>242</v>
      </c>
      <c r="B243" s="16">
        <v>80523</v>
      </c>
      <c r="C243" s="17" t="s">
        <v>436</v>
      </c>
      <c r="D243" s="16" t="s">
        <v>439</v>
      </c>
      <c r="E243" s="16" t="s">
        <v>440</v>
      </c>
      <c r="F243" s="16">
        <v>30</v>
      </c>
      <c r="G243" s="16">
        <v>29</v>
      </c>
      <c r="H243" s="18">
        <f t="shared" si="7"/>
        <v>1</v>
      </c>
      <c r="I243" s="19">
        <f t="shared" si="1"/>
        <v>733.33333333333337</v>
      </c>
      <c r="J243" s="16">
        <v>0</v>
      </c>
      <c r="K243" s="20">
        <v>0</v>
      </c>
      <c r="L243" s="21"/>
      <c r="M243" s="21"/>
      <c r="N243" s="16">
        <v>0</v>
      </c>
      <c r="O243" s="16">
        <v>0</v>
      </c>
      <c r="P243" s="16">
        <v>0</v>
      </c>
      <c r="Q243" s="16">
        <v>1</v>
      </c>
      <c r="R243" s="16">
        <v>0</v>
      </c>
      <c r="S243" s="22">
        <v>22000</v>
      </c>
      <c r="T243" s="19">
        <f t="shared" si="2"/>
        <v>0</v>
      </c>
      <c r="U243" s="19">
        <f t="shared" si="3"/>
        <v>21267</v>
      </c>
      <c r="V243" s="22">
        <v>21267</v>
      </c>
      <c r="W243" s="31">
        <v>0</v>
      </c>
      <c r="X243" s="22">
        <v>0</v>
      </c>
      <c r="Y243" s="22">
        <v>0</v>
      </c>
      <c r="Z243" s="22">
        <v>2200</v>
      </c>
      <c r="AA243" s="22">
        <v>0</v>
      </c>
      <c r="AB243" s="22">
        <v>0</v>
      </c>
      <c r="AC243" s="22">
        <v>525</v>
      </c>
      <c r="AD243" s="22">
        <v>0</v>
      </c>
      <c r="AE243" s="22">
        <v>0</v>
      </c>
      <c r="AF243" s="22">
        <v>3000</v>
      </c>
      <c r="AG243" s="22">
        <v>0</v>
      </c>
      <c r="AH243" s="22">
        <v>0</v>
      </c>
      <c r="AI243" s="22">
        <v>0</v>
      </c>
      <c r="AJ243" s="22">
        <v>0</v>
      </c>
      <c r="AK243" s="22">
        <v>0</v>
      </c>
      <c r="AL243" s="22">
        <v>0</v>
      </c>
      <c r="AM243" s="22">
        <v>0</v>
      </c>
      <c r="AN243" s="22">
        <v>0</v>
      </c>
      <c r="AO243" s="22">
        <v>0</v>
      </c>
      <c r="AP243" s="22">
        <v>0</v>
      </c>
      <c r="AQ243" s="22">
        <v>0</v>
      </c>
      <c r="AR243" s="22">
        <v>0</v>
      </c>
      <c r="AS243" s="22">
        <v>0</v>
      </c>
      <c r="AT243" s="22">
        <v>0</v>
      </c>
      <c r="AU243" s="19">
        <f t="shared" si="4"/>
        <v>5725</v>
      </c>
      <c r="AV243" s="22">
        <v>15541.67</v>
      </c>
      <c r="AW243" s="24" t="s">
        <v>54</v>
      </c>
      <c r="AX243" s="25">
        <v>45789</v>
      </c>
      <c r="AY243" s="15">
        <v>733</v>
      </c>
      <c r="AZ243" s="26"/>
      <c r="BA243" s="27">
        <f t="shared" si="8"/>
        <v>-3.3333333321934333E-3</v>
      </c>
      <c r="BB243" s="14"/>
      <c r="BC243" s="28"/>
    </row>
    <row r="244" spans="1:55" ht="28.8" x14ac:dyDescent="0.4">
      <c r="A244" s="15">
        <v>243</v>
      </c>
      <c r="B244" s="36">
        <v>80652</v>
      </c>
      <c r="C244" s="37" t="s">
        <v>139</v>
      </c>
      <c r="D244" s="36" t="s">
        <v>139</v>
      </c>
      <c r="E244" s="36" t="s">
        <v>252</v>
      </c>
      <c r="F244" s="16">
        <v>30</v>
      </c>
      <c r="G244" s="16">
        <v>29</v>
      </c>
      <c r="H244" s="18">
        <f t="shared" si="7"/>
        <v>1</v>
      </c>
      <c r="I244" s="19">
        <f t="shared" si="1"/>
        <v>533.33333333333337</v>
      </c>
      <c r="J244" s="16">
        <v>0</v>
      </c>
      <c r="K244" s="20">
        <v>0</v>
      </c>
      <c r="L244" s="21"/>
      <c r="M244" s="21"/>
      <c r="N244" s="16">
        <v>0</v>
      </c>
      <c r="O244" s="16">
        <v>0</v>
      </c>
      <c r="P244" s="16">
        <v>1</v>
      </c>
      <c r="Q244" s="16">
        <v>0</v>
      </c>
      <c r="R244" s="16">
        <v>0</v>
      </c>
      <c r="S244" s="22">
        <v>16000</v>
      </c>
      <c r="T244" s="19">
        <f t="shared" si="2"/>
        <v>0</v>
      </c>
      <c r="U244" s="19">
        <f t="shared" si="3"/>
        <v>15467</v>
      </c>
      <c r="V244" s="22">
        <v>15467</v>
      </c>
      <c r="W244" s="31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0</v>
      </c>
      <c r="AH244" s="22">
        <v>0</v>
      </c>
      <c r="AI244" s="22">
        <v>0</v>
      </c>
      <c r="AJ244" s="22">
        <v>0</v>
      </c>
      <c r="AK244" s="22">
        <v>0</v>
      </c>
      <c r="AL244" s="22">
        <v>0</v>
      </c>
      <c r="AM244" s="22">
        <v>0</v>
      </c>
      <c r="AN244" s="22">
        <v>0</v>
      </c>
      <c r="AO244" s="22">
        <v>0</v>
      </c>
      <c r="AP244" s="22">
        <v>0</v>
      </c>
      <c r="AQ244" s="22">
        <v>0</v>
      </c>
      <c r="AR244" s="22">
        <v>0</v>
      </c>
      <c r="AS244" s="22">
        <v>0</v>
      </c>
      <c r="AT244" s="22">
        <v>0</v>
      </c>
      <c r="AU244" s="19">
        <f t="shared" si="4"/>
        <v>0</v>
      </c>
      <c r="AV244" s="22">
        <v>15466.67</v>
      </c>
      <c r="AW244" s="24" t="s">
        <v>54</v>
      </c>
      <c r="AX244" s="34"/>
      <c r="AY244" s="15"/>
      <c r="AZ244" s="26"/>
      <c r="BA244" s="27">
        <f t="shared" si="8"/>
        <v>-3.3333333321934333E-3</v>
      </c>
      <c r="BB244" s="14"/>
      <c r="BC244" s="28"/>
    </row>
    <row r="245" spans="1:55" ht="21" x14ac:dyDescent="0.4">
      <c r="A245" s="15">
        <v>244</v>
      </c>
      <c r="B245" s="16">
        <v>22270</v>
      </c>
      <c r="C245" s="17" t="s">
        <v>139</v>
      </c>
      <c r="D245" s="16" t="s">
        <v>139</v>
      </c>
      <c r="E245" s="16" t="s">
        <v>441</v>
      </c>
      <c r="F245" s="16">
        <v>30</v>
      </c>
      <c r="G245" s="16">
        <v>29</v>
      </c>
      <c r="H245" s="18">
        <f t="shared" si="7"/>
        <v>1</v>
      </c>
      <c r="I245" s="19">
        <f t="shared" si="1"/>
        <v>586.66666666666663</v>
      </c>
      <c r="J245" s="16">
        <v>0</v>
      </c>
      <c r="K245" s="20">
        <v>0</v>
      </c>
      <c r="L245" s="21"/>
      <c r="M245" s="21"/>
      <c r="N245" s="16">
        <v>0</v>
      </c>
      <c r="O245" s="16">
        <v>0</v>
      </c>
      <c r="P245" s="16">
        <v>1</v>
      </c>
      <c r="Q245" s="16">
        <v>0</v>
      </c>
      <c r="R245" s="16">
        <v>0</v>
      </c>
      <c r="S245" s="32">
        <v>17600</v>
      </c>
      <c r="T245" s="19">
        <f t="shared" si="2"/>
        <v>0</v>
      </c>
      <c r="U245" s="19">
        <f t="shared" si="3"/>
        <v>17013</v>
      </c>
      <c r="V245" s="22">
        <v>17013</v>
      </c>
      <c r="W245" s="31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0</v>
      </c>
      <c r="AC245" s="22">
        <v>525</v>
      </c>
      <c r="AD245" s="22">
        <v>0</v>
      </c>
      <c r="AE245" s="22">
        <v>0</v>
      </c>
      <c r="AF245" s="22">
        <v>2000</v>
      </c>
      <c r="AG245" s="22">
        <v>0</v>
      </c>
      <c r="AH245" s="22">
        <v>0</v>
      </c>
      <c r="AI245" s="22">
        <v>0</v>
      </c>
      <c r="AJ245" s="22">
        <v>0</v>
      </c>
      <c r="AK245" s="22">
        <v>0</v>
      </c>
      <c r="AL245" s="22">
        <v>0</v>
      </c>
      <c r="AM245" s="22">
        <v>0</v>
      </c>
      <c r="AN245" s="22">
        <v>0</v>
      </c>
      <c r="AO245" s="22">
        <v>0</v>
      </c>
      <c r="AP245" s="22">
        <v>0</v>
      </c>
      <c r="AQ245" s="22">
        <v>0</v>
      </c>
      <c r="AR245" s="22">
        <v>0</v>
      </c>
      <c r="AS245" s="22">
        <v>0</v>
      </c>
      <c r="AT245" s="22">
        <v>0</v>
      </c>
      <c r="AU245" s="19">
        <f t="shared" si="4"/>
        <v>2525</v>
      </c>
      <c r="AV245" s="22">
        <v>14488.33</v>
      </c>
      <c r="AW245" s="24" t="s">
        <v>54</v>
      </c>
      <c r="AX245" s="25">
        <v>45789</v>
      </c>
      <c r="AY245" s="15"/>
      <c r="AZ245" s="26"/>
      <c r="BA245" s="27">
        <f t="shared" si="8"/>
        <v>3.3333333321934333E-3</v>
      </c>
      <c r="BB245" s="14"/>
      <c r="BC245" s="28"/>
    </row>
    <row r="246" spans="1:55" ht="21" x14ac:dyDescent="0.4">
      <c r="A246" s="15">
        <v>245</v>
      </c>
      <c r="B246" s="16">
        <v>80384</v>
      </c>
      <c r="C246" s="17" t="s">
        <v>139</v>
      </c>
      <c r="D246" s="16" t="s">
        <v>139</v>
      </c>
      <c r="E246" s="16" t="s">
        <v>442</v>
      </c>
      <c r="F246" s="16">
        <v>30</v>
      </c>
      <c r="G246" s="16">
        <v>29</v>
      </c>
      <c r="H246" s="18">
        <f t="shared" si="7"/>
        <v>1</v>
      </c>
      <c r="I246" s="19">
        <f t="shared" si="1"/>
        <v>586.66666666666663</v>
      </c>
      <c r="J246" s="16">
        <v>0</v>
      </c>
      <c r="K246" s="20">
        <v>0</v>
      </c>
      <c r="L246" s="21"/>
      <c r="M246" s="21"/>
      <c r="N246" s="16">
        <v>0</v>
      </c>
      <c r="O246" s="16">
        <v>0</v>
      </c>
      <c r="P246" s="16">
        <v>1</v>
      </c>
      <c r="Q246" s="16">
        <v>0</v>
      </c>
      <c r="R246" s="16">
        <v>0</v>
      </c>
      <c r="S246" s="32">
        <v>17600</v>
      </c>
      <c r="T246" s="19">
        <f t="shared" si="2"/>
        <v>0</v>
      </c>
      <c r="U246" s="19">
        <f t="shared" si="3"/>
        <v>17013</v>
      </c>
      <c r="V246" s="22">
        <v>17013</v>
      </c>
      <c r="W246" s="31">
        <v>0</v>
      </c>
      <c r="X246" s="22"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v>525</v>
      </c>
      <c r="AD246" s="22">
        <v>0</v>
      </c>
      <c r="AE246" s="22">
        <v>0</v>
      </c>
      <c r="AF246" s="22">
        <v>0</v>
      </c>
      <c r="AG246" s="22">
        <v>0</v>
      </c>
      <c r="AH246" s="22">
        <v>0</v>
      </c>
      <c r="AI246" s="22">
        <v>0</v>
      </c>
      <c r="AJ246" s="22">
        <v>0</v>
      </c>
      <c r="AK246" s="22">
        <v>0</v>
      </c>
      <c r="AL246" s="22">
        <v>0</v>
      </c>
      <c r="AM246" s="22">
        <v>0</v>
      </c>
      <c r="AN246" s="22">
        <v>0</v>
      </c>
      <c r="AO246" s="22">
        <v>0</v>
      </c>
      <c r="AP246" s="22">
        <v>0</v>
      </c>
      <c r="AQ246" s="22">
        <v>0</v>
      </c>
      <c r="AR246" s="22">
        <v>0</v>
      </c>
      <c r="AS246" s="22">
        <v>0</v>
      </c>
      <c r="AT246" s="22">
        <v>0</v>
      </c>
      <c r="AU246" s="19">
        <f t="shared" si="4"/>
        <v>525</v>
      </c>
      <c r="AV246" s="22">
        <v>16488.330000000002</v>
      </c>
      <c r="AW246" s="24" t="s">
        <v>54</v>
      </c>
      <c r="AX246" s="25">
        <v>45789</v>
      </c>
      <c r="AY246" s="15"/>
      <c r="AZ246" s="26"/>
      <c r="BA246" s="27">
        <f t="shared" si="8"/>
        <v>3.3333333303744439E-3</v>
      </c>
      <c r="BB246" s="14"/>
      <c r="BC246" s="28"/>
    </row>
    <row r="247" spans="1:55" ht="42.6" x14ac:dyDescent="0.4">
      <c r="A247" s="15">
        <v>246</v>
      </c>
      <c r="B247" s="16">
        <v>80458</v>
      </c>
      <c r="C247" s="17" t="s">
        <v>139</v>
      </c>
      <c r="D247" s="16" t="s">
        <v>139</v>
      </c>
      <c r="E247" s="16" t="s">
        <v>443</v>
      </c>
      <c r="F247" s="16">
        <v>30</v>
      </c>
      <c r="G247" s="16">
        <v>28</v>
      </c>
      <c r="H247" s="18">
        <f t="shared" si="7"/>
        <v>2</v>
      </c>
      <c r="I247" s="19">
        <f t="shared" si="1"/>
        <v>1066.6666666666667</v>
      </c>
      <c r="J247" s="16">
        <v>0</v>
      </c>
      <c r="K247" s="20">
        <v>0</v>
      </c>
      <c r="L247" s="21"/>
      <c r="M247" s="21"/>
      <c r="N247" s="16">
        <v>0</v>
      </c>
      <c r="O247" s="16">
        <v>0</v>
      </c>
      <c r="P247" s="16">
        <v>2</v>
      </c>
      <c r="Q247" s="16">
        <v>0</v>
      </c>
      <c r="R247" s="16">
        <v>0</v>
      </c>
      <c r="S247" s="22">
        <v>16000</v>
      </c>
      <c r="T247" s="19">
        <f t="shared" si="2"/>
        <v>0</v>
      </c>
      <c r="U247" s="19">
        <f t="shared" si="3"/>
        <v>14933</v>
      </c>
      <c r="V247" s="22">
        <v>14933</v>
      </c>
      <c r="W247" s="31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v>2000</v>
      </c>
      <c r="AG247" s="22">
        <v>0</v>
      </c>
      <c r="AH247" s="22">
        <v>0</v>
      </c>
      <c r="AI247" s="22">
        <v>0</v>
      </c>
      <c r="AJ247" s="22">
        <v>0</v>
      </c>
      <c r="AK247" s="22">
        <v>0</v>
      </c>
      <c r="AL247" s="22">
        <v>0</v>
      </c>
      <c r="AM247" s="22">
        <v>0</v>
      </c>
      <c r="AN247" s="22">
        <v>0</v>
      </c>
      <c r="AO247" s="22">
        <v>0</v>
      </c>
      <c r="AP247" s="22">
        <v>0</v>
      </c>
      <c r="AQ247" s="22">
        <v>0</v>
      </c>
      <c r="AR247" s="22">
        <v>0</v>
      </c>
      <c r="AS247" s="22">
        <v>0</v>
      </c>
      <c r="AT247" s="22">
        <v>0</v>
      </c>
      <c r="AU247" s="19">
        <f t="shared" si="4"/>
        <v>2000</v>
      </c>
      <c r="AV247" s="22">
        <v>12933.33</v>
      </c>
      <c r="AW247" s="24" t="s">
        <v>54</v>
      </c>
      <c r="AX247" s="25">
        <v>45789</v>
      </c>
      <c r="AY247" s="15"/>
      <c r="AZ247" s="26"/>
      <c r="BA247" s="27">
        <f t="shared" si="8"/>
        <v>3.3333333340124227E-3</v>
      </c>
      <c r="BB247" s="14"/>
      <c r="BC247" s="28"/>
    </row>
    <row r="248" spans="1:55" ht="28.8" x14ac:dyDescent="0.4">
      <c r="A248" s="15">
        <v>247</v>
      </c>
      <c r="B248" s="16">
        <v>80609</v>
      </c>
      <c r="C248" s="17" t="s">
        <v>139</v>
      </c>
      <c r="D248" s="16" t="s">
        <v>215</v>
      </c>
      <c r="E248" s="16" t="s">
        <v>444</v>
      </c>
      <c r="F248" s="16">
        <v>30</v>
      </c>
      <c r="G248" s="16">
        <v>29</v>
      </c>
      <c r="H248" s="18">
        <f t="shared" si="7"/>
        <v>1</v>
      </c>
      <c r="I248" s="19">
        <f t="shared" si="1"/>
        <v>533.33333333333337</v>
      </c>
      <c r="J248" s="16">
        <v>0</v>
      </c>
      <c r="K248" s="20">
        <v>0</v>
      </c>
      <c r="L248" s="21"/>
      <c r="M248" s="21"/>
      <c r="N248" s="16">
        <v>0</v>
      </c>
      <c r="O248" s="16">
        <v>0</v>
      </c>
      <c r="P248" s="16">
        <v>1</v>
      </c>
      <c r="Q248" s="16">
        <v>0</v>
      </c>
      <c r="R248" s="16">
        <v>0</v>
      </c>
      <c r="S248" s="22">
        <v>16000</v>
      </c>
      <c r="T248" s="19">
        <f t="shared" si="2"/>
        <v>0</v>
      </c>
      <c r="U248" s="19">
        <f t="shared" si="3"/>
        <v>15467</v>
      </c>
      <c r="V248" s="22">
        <v>15467</v>
      </c>
      <c r="W248" s="31">
        <v>0</v>
      </c>
      <c r="X248" s="22">
        <v>0</v>
      </c>
      <c r="Y248" s="22">
        <v>0</v>
      </c>
      <c r="Z248" s="22">
        <v>0</v>
      </c>
      <c r="AA248" s="22">
        <v>0</v>
      </c>
      <c r="AB248" s="22">
        <v>0</v>
      </c>
      <c r="AC248" s="22">
        <v>0</v>
      </c>
      <c r="AD248" s="22">
        <v>0</v>
      </c>
      <c r="AE248" s="22">
        <v>0</v>
      </c>
      <c r="AF248" s="22">
        <v>0</v>
      </c>
      <c r="AG248" s="22">
        <v>0</v>
      </c>
      <c r="AH248" s="22">
        <v>0</v>
      </c>
      <c r="AI248" s="22">
        <v>0</v>
      </c>
      <c r="AJ248" s="22">
        <v>0</v>
      </c>
      <c r="AK248" s="22">
        <v>0</v>
      </c>
      <c r="AL248" s="22">
        <v>0</v>
      </c>
      <c r="AM248" s="22">
        <v>0</v>
      </c>
      <c r="AN248" s="22">
        <v>0</v>
      </c>
      <c r="AO248" s="22">
        <v>0</v>
      </c>
      <c r="AP248" s="22">
        <v>0</v>
      </c>
      <c r="AQ248" s="22">
        <v>0</v>
      </c>
      <c r="AR248" s="22">
        <v>0</v>
      </c>
      <c r="AS248" s="22">
        <v>0</v>
      </c>
      <c r="AT248" s="22">
        <v>0</v>
      </c>
      <c r="AU248" s="19">
        <f t="shared" si="4"/>
        <v>0</v>
      </c>
      <c r="AV248" s="22">
        <v>15466.67</v>
      </c>
      <c r="AW248" s="24" t="s">
        <v>54</v>
      </c>
      <c r="AX248" s="25">
        <v>45789</v>
      </c>
      <c r="AY248" s="15"/>
      <c r="AZ248" s="26"/>
      <c r="BA248" s="27">
        <f t="shared" si="8"/>
        <v>-3.3333333321934333E-3</v>
      </c>
      <c r="BB248" s="14"/>
      <c r="BC248" s="28"/>
    </row>
    <row r="249" spans="1:55" ht="28.8" x14ac:dyDescent="0.4">
      <c r="A249" s="15">
        <v>248</v>
      </c>
      <c r="B249" s="16">
        <v>80620</v>
      </c>
      <c r="C249" s="17" t="s">
        <v>139</v>
      </c>
      <c r="D249" s="16" t="s">
        <v>215</v>
      </c>
      <c r="E249" s="16" t="s">
        <v>445</v>
      </c>
      <c r="F249" s="16">
        <v>30</v>
      </c>
      <c r="G249" s="16">
        <v>5</v>
      </c>
      <c r="H249" s="18">
        <f t="shared" si="7"/>
        <v>25</v>
      </c>
      <c r="I249" s="19">
        <f t="shared" si="1"/>
        <v>13333.333333333334</v>
      </c>
      <c r="J249" s="16">
        <v>0</v>
      </c>
      <c r="K249" s="20">
        <v>0</v>
      </c>
      <c r="L249" s="21"/>
      <c r="M249" s="21"/>
      <c r="N249" s="16">
        <v>0</v>
      </c>
      <c r="O249" s="16">
        <v>0</v>
      </c>
      <c r="P249" s="16">
        <v>0</v>
      </c>
      <c r="Q249" s="16">
        <v>0</v>
      </c>
      <c r="R249" s="16">
        <v>25</v>
      </c>
      <c r="S249" s="22">
        <v>16000</v>
      </c>
      <c r="T249" s="19">
        <f t="shared" si="2"/>
        <v>0</v>
      </c>
      <c r="U249" s="19">
        <f t="shared" si="3"/>
        <v>2667</v>
      </c>
      <c r="V249" s="22">
        <v>2667</v>
      </c>
      <c r="W249" s="31">
        <v>0</v>
      </c>
      <c r="X249" s="22">
        <v>0</v>
      </c>
      <c r="Y249" s="22">
        <v>0</v>
      </c>
      <c r="Z249" s="22">
        <v>0</v>
      </c>
      <c r="AA249" s="22">
        <v>0</v>
      </c>
      <c r="AB249" s="22">
        <v>0</v>
      </c>
      <c r="AC249" s="22">
        <v>0</v>
      </c>
      <c r="AD249" s="22">
        <v>0</v>
      </c>
      <c r="AE249" s="22">
        <v>0</v>
      </c>
      <c r="AF249" s="22">
        <v>0</v>
      </c>
      <c r="AG249" s="22">
        <v>0</v>
      </c>
      <c r="AH249" s="22">
        <v>0</v>
      </c>
      <c r="AI249" s="22">
        <v>0</v>
      </c>
      <c r="AJ249" s="22">
        <v>0</v>
      </c>
      <c r="AK249" s="22">
        <v>0</v>
      </c>
      <c r="AL249" s="22">
        <v>0</v>
      </c>
      <c r="AM249" s="22">
        <v>0</v>
      </c>
      <c r="AN249" s="22">
        <v>0</v>
      </c>
      <c r="AO249" s="22">
        <v>0</v>
      </c>
      <c r="AP249" s="22">
        <v>0</v>
      </c>
      <c r="AQ249" s="22">
        <v>0</v>
      </c>
      <c r="AR249" s="22">
        <v>0</v>
      </c>
      <c r="AS249" s="22">
        <v>0</v>
      </c>
      <c r="AT249" s="22">
        <v>0</v>
      </c>
      <c r="AU249" s="19">
        <f t="shared" si="4"/>
        <v>0</v>
      </c>
      <c r="AV249" s="22">
        <v>2666.67</v>
      </c>
      <c r="AW249" s="24"/>
      <c r="AX249" s="34"/>
      <c r="AY249" s="15"/>
      <c r="AZ249" s="26"/>
      <c r="BA249" s="27">
        <f t="shared" si="8"/>
        <v>-3.333333333102928E-3</v>
      </c>
      <c r="BB249" s="14"/>
      <c r="BC249" s="28"/>
    </row>
    <row r="250" spans="1:55" ht="21" x14ac:dyDescent="0.4">
      <c r="A250" s="15">
        <v>249</v>
      </c>
      <c r="B250" s="16">
        <v>80621</v>
      </c>
      <c r="C250" s="17" t="s">
        <v>139</v>
      </c>
      <c r="D250" s="16" t="s">
        <v>215</v>
      </c>
      <c r="E250" s="16" t="s">
        <v>446</v>
      </c>
      <c r="F250" s="16">
        <v>30</v>
      </c>
      <c r="G250" s="16">
        <v>30</v>
      </c>
      <c r="H250" s="18">
        <f t="shared" si="7"/>
        <v>0</v>
      </c>
      <c r="I250" s="19">
        <f t="shared" si="1"/>
        <v>0</v>
      </c>
      <c r="J250" s="16">
        <v>0</v>
      </c>
      <c r="K250" s="20">
        <v>0</v>
      </c>
      <c r="L250" s="21"/>
      <c r="M250" s="21"/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32">
        <v>17600</v>
      </c>
      <c r="T250" s="19">
        <f t="shared" si="2"/>
        <v>0</v>
      </c>
      <c r="U250" s="19">
        <f t="shared" si="3"/>
        <v>17600</v>
      </c>
      <c r="V250" s="22">
        <v>17600</v>
      </c>
      <c r="W250" s="31">
        <v>0</v>
      </c>
      <c r="X250" s="22">
        <v>0</v>
      </c>
      <c r="Y250" s="22">
        <v>0</v>
      </c>
      <c r="Z250" s="22">
        <v>0</v>
      </c>
      <c r="AA250" s="22">
        <v>0</v>
      </c>
      <c r="AB250" s="22">
        <v>0</v>
      </c>
      <c r="AC250" s="22">
        <v>0</v>
      </c>
      <c r="AD250" s="22">
        <v>0</v>
      </c>
      <c r="AE250" s="22">
        <v>0</v>
      </c>
      <c r="AF250" s="22">
        <v>2000</v>
      </c>
      <c r="AG250" s="22">
        <v>0</v>
      </c>
      <c r="AH250" s="22">
        <v>0</v>
      </c>
      <c r="AI250" s="22">
        <v>0</v>
      </c>
      <c r="AJ250" s="22">
        <v>0</v>
      </c>
      <c r="AK250" s="22">
        <v>0</v>
      </c>
      <c r="AL250" s="22">
        <v>0</v>
      </c>
      <c r="AM250" s="22">
        <v>0</v>
      </c>
      <c r="AN250" s="22">
        <v>0</v>
      </c>
      <c r="AO250" s="22">
        <v>0</v>
      </c>
      <c r="AP250" s="22">
        <v>0</v>
      </c>
      <c r="AQ250" s="22">
        <v>0</v>
      </c>
      <c r="AR250" s="22">
        <v>0</v>
      </c>
      <c r="AS250" s="22">
        <v>0</v>
      </c>
      <c r="AT250" s="22">
        <v>0</v>
      </c>
      <c r="AU250" s="19">
        <f t="shared" si="4"/>
        <v>2000</v>
      </c>
      <c r="AV250" s="22">
        <v>15600</v>
      </c>
      <c r="AW250" s="24" t="s">
        <v>54</v>
      </c>
      <c r="AX250" s="25">
        <v>45789</v>
      </c>
      <c r="AY250" s="15"/>
      <c r="AZ250" s="26"/>
      <c r="BA250" s="27">
        <f t="shared" si="8"/>
        <v>0</v>
      </c>
      <c r="BB250" s="14"/>
      <c r="BC250" s="28"/>
    </row>
    <row r="251" spans="1:55" ht="28.8" x14ac:dyDescent="0.4">
      <c r="A251" s="15">
        <v>250</v>
      </c>
      <c r="B251" s="16">
        <v>80622</v>
      </c>
      <c r="C251" s="17" t="s">
        <v>139</v>
      </c>
      <c r="D251" s="16" t="s">
        <v>215</v>
      </c>
      <c r="E251" s="16" t="s">
        <v>447</v>
      </c>
      <c r="F251" s="16">
        <v>30</v>
      </c>
      <c r="G251" s="16">
        <v>28</v>
      </c>
      <c r="H251" s="18">
        <f t="shared" si="7"/>
        <v>2</v>
      </c>
      <c r="I251" s="19">
        <f t="shared" si="1"/>
        <v>1066.6666666666667</v>
      </c>
      <c r="J251" s="16">
        <v>0</v>
      </c>
      <c r="K251" s="20">
        <v>0</v>
      </c>
      <c r="L251" s="21"/>
      <c r="M251" s="21"/>
      <c r="N251" s="16">
        <v>0</v>
      </c>
      <c r="O251" s="16">
        <v>0</v>
      </c>
      <c r="P251" s="16">
        <v>2</v>
      </c>
      <c r="Q251" s="16">
        <v>0</v>
      </c>
      <c r="R251" s="16">
        <v>0</v>
      </c>
      <c r="S251" s="22">
        <v>16000</v>
      </c>
      <c r="T251" s="19">
        <f t="shared" si="2"/>
        <v>0</v>
      </c>
      <c r="U251" s="19">
        <f t="shared" si="3"/>
        <v>14933</v>
      </c>
      <c r="V251" s="22">
        <v>14933</v>
      </c>
      <c r="W251" s="31">
        <v>0</v>
      </c>
      <c r="X251" s="22">
        <v>0</v>
      </c>
      <c r="Y251" s="22">
        <v>0</v>
      </c>
      <c r="Z251" s="22">
        <v>0</v>
      </c>
      <c r="AA251" s="22">
        <v>0</v>
      </c>
      <c r="AB251" s="22">
        <v>0</v>
      </c>
      <c r="AC251" s="22">
        <v>525</v>
      </c>
      <c r="AD251" s="22">
        <v>0</v>
      </c>
      <c r="AE251" s="22">
        <v>0</v>
      </c>
      <c r="AF251" s="22">
        <v>2000</v>
      </c>
      <c r="AG251" s="22">
        <v>0</v>
      </c>
      <c r="AH251" s="22">
        <v>0</v>
      </c>
      <c r="AI251" s="22">
        <v>0</v>
      </c>
      <c r="AJ251" s="22">
        <v>0</v>
      </c>
      <c r="AK251" s="22">
        <v>0</v>
      </c>
      <c r="AL251" s="22">
        <v>0</v>
      </c>
      <c r="AM251" s="22">
        <v>0</v>
      </c>
      <c r="AN251" s="22">
        <v>0</v>
      </c>
      <c r="AO251" s="22">
        <v>0</v>
      </c>
      <c r="AP251" s="22">
        <v>0</v>
      </c>
      <c r="AQ251" s="22">
        <v>0</v>
      </c>
      <c r="AR251" s="22">
        <v>0</v>
      </c>
      <c r="AS251" s="22">
        <v>0</v>
      </c>
      <c r="AT251" s="22">
        <v>0</v>
      </c>
      <c r="AU251" s="19">
        <f t="shared" si="4"/>
        <v>2525</v>
      </c>
      <c r="AV251" s="22">
        <v>12408.33</v>
      </c>
      <c r="AW251" s="24" t="s">
        <v>54</v>
      </c>
      <c r="AX251" s="25">
        <v>45789</v>
      </c>
      <c r="AY251" s="15"/>
      <c r="AZ251" s="26"/>
      <c r="BA251" s="27">
        <f t="shared" si="8"/>
        <v>3.3333333340124227E-3</v>
      </c>
      <c r="BB251" s="14"/>
      <c r="BC251" s="28"/>
    </row>
    <row r="252" spans="1:55" ht="28.8" x14ac:dyDescent="0.4">
      <c r="A252" s="15">
        <v>251</v>
      </c>
      <c r="B252" s="16">
        <v>80630</v>
      </c>
      <c r="C252" s="17" t="s">
        <v>139</v>
      </c>
      <c r="D252" s="16" t="s">
        <v>215</v>
      </c>
      <c r="E252" s="16" t="s">
        <v>448</v>
      </c>
      <c r="F252" s="16">
        <v>30</v>
      </c>
      <c r="G252" s="16">
        <v>28</v>
      </c>
      <c r="H252" s="18">
        <f t="shared" si="7"/>
        <v>2</v>
      </c>
      <c r="I252" s="19">
        <f t="shared" si="1"/>
        <v>1066.6666666666667</v>
      </c>
      <c r="J252" s="16">
        <v>0</v>
      </c>
      <c r="K252" s="20">
        <v>0</v>
      </c>
      <c r="L252" s="21"/>
      <c r="M252" s="21"/>
      <c r="N252" s="16">
        <v>0</v>
      </c>
      <c r="O252" s="16">
        <v>0</v>
      </c>
      <c r="P252" s="16">
        <v>2</v>
      </c>
      <c r="Q252" s="16">
        <v>0</v>
      </c>
      <c r="R252" s="16">
        <v>0</v>
      </c>
      <c r="S252" s="22">
        <v>16000</v>
      </c>
      <c r="T252" s="19">
        <f t="shared" si="2"/>
        <v>0</v>
      </c>
      <c r="U252" s="19">
        <f t="shared" si="3"/>
        <v>14933</v>
      </c>
      <c r="V252" s="22">
        <v>14933</v>
      </c>
      <c r="W252" s="31">
        <v>0</v>
      </c>
      <c r="X252" s="22"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>
        <v>0</v>
      </c>
      <c r="AG252" s="22">
        <v>0</v>
      </c>
      <c r="AH252" s="22">
        <v>0</v>
      </c>
      <c r="AI252" s="22">
        <v>0</v>
      </c>
      <c r="AJ252" s="22">
        <v>0</v>
      </c>
      <c r="AK252" s="22">
        <v>0</v>
      </c>
      <c r="AL252" s="22">
        <v>0</v>
      </c>
      <c r="AM252" s="22">
        <v>0</v>
      </c>
      <c r="AN252" s="22">
        <v>0</v>
      </c>
      <c r="AO252" s="22">
        <v>0</v>
      </c>
      <c r="AP252" s="22">
        <v>0</v>
      </c>
      <c r="AQ252" s="22">
        <v>0</v>
      </c>
      <c r="AR252" s="22">
        <v>0</v>
      </c>
      <c r="AS252" s="22">
        <v>0</v>
      </c>
      <c r="AT252" s="22">
        <v>0</v>
      </c>
      <c r="AU252" s="19">
        <f t="shared" si="4"/>
        <v>0</v>
      </c>
      <c r="AV252" s="22">
        <v>14933.33</v>
      </c>
      <c r="AW252" s="24" t="s">
        <v>54</v>
      </c>
      <c r="AX252" s="25">
        <v>45789</v>
      </c>
      <c r="AY252" s="15"/>
      <c r="AZ252" s="26"/>
      <c r="BA252" s="27">
        <f t="shared" si="8"/>
        <v>3.3333333340124227E-3</v>
      </c>
      <c r="BB252" s="14"/>
      <c r="BC252" s="28"/>
    </row>
    <row r="253" spans="1:55" ht="42.6" x14ac:dyDescent="0.4">
      <c r="A253" s="15">
        <v>252</v>
      </c>
      <c r="B253" s="16">
        <v>80637</v>
      </c>
      <c r="C253" s="17" t="s">
        <v>139</v>
      </c>
      <c r="D253" s="16" t="s">
        <v>139</v>
      </c>
      <c r="E253" s="16" t="s">
        <v>449</v>
      </c>
      <c r="F253" s="16">
        <v>30</v>
      </c>
      <c r="G253" s="16">
        <v>30</v>
      </c>
      <c r="H253" s="18">
        <f t="shared" si="7"/>
        <v>0</v>
      </c>
      <c r="I253" s="19">
        <f t="shared" si="1"/>
        <v>0</v>
      </c>
      <c r="J253" s="16">
        <v>0</v>
      </c>
      <c r="K253" s="20">
        <v>0</v>
      </c>
      <c r="L253" s="21"/>
      <c r="M253" s="21"/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32">
        <v>17600</v>
      </c>
      <c r="T253" s="19">
        <f t="shared" si="2"/>
        <v>0</v>
      </c>
      <c r="U253" s="19">
        <f t="shared" si="3"/>
        <v>17600</v>
      </c>
      <c r="V253" s="22">
        <v>17600</v>
      </c>
      <c r="W253" s="31">
        <v>0</v>
      </c>
      <c r="X253" s="22">
        <v>0</v>
      </c>
      <c r="Y253" s="22">
        <v>0</v>
      </c>
      <c r="Z253" s="22">
        <v>0</v>
      </c>
      <c r="AA253" s="22">
        <v>0</v>
      </c>
      <c r="AB253" s="22">
        <v>0</v>
      </c>
      <c r="AC253" s="22">
        <v>0</v>
      </c>
      <c r="AD253" s="22">
        <v>0</v>
      </c>
      <c r="AE253" s="22">
        <v>0</v>
      </c>
      <c r="AF253" s="22">
        <v>2000</v>
      </c>
      <c r="AG253" s="22">
        <v>0</v>
      </c>
      <c r="AH253" s="22">
        <v>0</v>
      </c>
      <c r="AI253" s="22">
        <v>0</v>
      </c>
      <c r="AJ253" s="22">
        <v>0</v>
      </c>
      <c r="AK253" s="22">
        <v>0</v>
      </c>
      <c r="AL253" s="22">
        <v>0</v>
      </c>
      <c r="AM253" s="22">
        <v>0</v>
      </c>
      <c r="AN253" s="22">
        <v>0</v>
      </c>
      <c r="AO253" s="22">
        <v>0</v>
      </c>
      <c r="AP253" s="22">
        <v>0</v>
      </c>
      <c r="AQ253" s="22">
        <v>0</v>
      </c>
      <c r="AR253" s="22">
        <v>0</v>
      </c>
      <c r="AS253" s="22">
        <v>0</v>
      </c>
      <c r="AT253" s="22">
        <v>0</v>
      </c>
      <c r="AU253" s="19">
        <f t="shared" si="4"/>
        <v>2000</v>
      </c>
      <c r="AV253" s="22">
        <v>15600</v>
      </c>
      <c r="AW253" s="24" t="s">
        <v>54</v>
      </c>
      <c r="AX253" s="25">
        <v>45789</v>
      </c>
      <c r="AY253" s="15"/>
      <c r="AZ253" s="26"/>
      <c r="BA253" s="27">
        <f t="shared" si="8"/>
        <v>0</v>
      </c>
      <c r="BB253" s="14"/>
      <c r="BC253" s="28"/>
    </row>
    <row r="254" spans="1:55" ht="28.8" x14ac:dyDescent="0.4">
      <c r="A254" s="15">
        <v>253</v>
      </c>
      <c r="B254" s="16">
        <v>80638</v>
      </c>
      <c r="C254" s="17" t="s">
        <v>139</v>
      </c>
      <c r="D254" s="16" t="s">
        <v>139</v>
      </c>
      <c r="E254" s="16" t="s">
        <v>450</v>
      </c>
      <c r="F254" s="16">
        <v>30</v>
      </c>
      <c r="G254" s="16">
        <v>29</v>
      </c>
      <c r="H254" s="18">
        <f t="shared" si="7"/>
        <v>1</v>
      </c>
      <c r="I254" s="19">
        <f t="shared" si="1"/>
        <v>586.66666666666663</v>
      </c>
      <c r="J254" s="16">
        <v>0</v>
      </c>
      <c r="K254" s="20">
        <v>0</v>
      </c>
      <c r="L254" s="21"/>
      <c r="M254" s="21"/>
      <c r="N254" s="16">
        <v>0</v>
      </c>
      <c r="O254" s="16">
        <v>0</v>
      </c>
      <c r="P254" s="16">
        <v>1</v>
      </c>
      <c r="Q254" s="16">
        <v>0</v>
      </c>
      <c r="R254" s="16">
        <v>0</v>
      </c>
      <c r="S254" s="32">
        <v>17600</v>
      </c>
      <c r="T254" s="19">
        <f t="shared" si="2"/>
        <v>0</v>
      </c>
      <c r="U254" s="19">
        <f t="shared" si="3"/>
        <v>17013</v>
      </c>
      <c r="V254" s="22">
        <v>17013</v>
      </c>
      <c r="W254" s="31">
        <v>0</v>
      </c>
      <c r="X254" s="22">
        <v>0</v>
      </c>
      <c r="Y254" s="22">
        <v>0</v>
      </c>
      <c r="Z254" s="22">
        <v>0</v>
      </c>
      <c r="AA254" s="22">
        <v>0</v>
      </c>
      <c r="AB254" s="22">
        <v>0</v>
      </c>
      <c r="AC254" s="22">
        <v>1050</v>
      </c>
      <c r="AD254" s="22">
        <v>0</v>
      </c>
      <c r="AE254" s="22">
        <v>0</v>
      </c>
      <c r="AF254" s="22">
        <v>2000</v>
      </c>
      <c r="AG254" s="22">
        <v>0</v>
      </c>
      <c r="AH254" s="22">
        <v>0</v>
      </c>
      <c r="AI254" s="22">
        <v>0</v>
      </c>
      <c r="AJ254" s="22">
        <v>0</v>
      </c>
      <c r="AK254" s="22">
        <v>0</v>
      </c>
      <c r="AL254" s="22">
        <v>0</v>
      </c>
      <c r="AM254" s="22">
        <v>0</v>
      </c>
      <c r="AN254" s="22">
        <v>0</v>
      </c>
      <c r="AO254" s="22">
        <v>0</v>
      </c>
      <c r="AP254" s="22">
        <v>0</v>
      </c>
      <c r="AQ254" s="22">
        <v>0</v>
      </c>
      <c r="AR254" s="22">
        <v>0</v>
      </c>
      <c r="AS254" s="22">
        <v>0</v>
      </c>
      <c r="AT254" s="22">
        <v>0</v>
      </c>
      <c r="AU254" s="19">
        <f t="shared" si="4"/>
        <v>3050</v>
      </c>
      <c r="AV254" s="22">
        <v>13963.33</v>
      </c>
      <c r="AW254" s="24" t="s">
        <v>54</v>
      </c>
      <c r="AX254" s="25">
        <v>45789</v>
      </c>
      <c r="AY254" s="15"/>
      <c r="AZ254" s="26"/>
      <c r="BA254" s="27">
        <f t="shared" si="8"/>
        <v>3.3333333321934333E-3</v>
      </c>
      <c r="BB254" s="14"/>
      <c r="BC254" s="28"/>
    </row>
    <row r="255" spans="1:55" ht="21" x14ac:dyDescent="0.4">
      <c r="A255" s="15">
        <v>254</v>
      </c>
      <c r="B255" s="16">
        <v>80651</v>
      </c>
      <c r="C255" s="17" t="s">
        <v>139</v>
      </c>
      <c r="D255" s="16" t="s">
        <v>139</v>
      </c>
      <c r="E255" s="16" t="s">
        <v>451</v>
      </c>
      <c r="F255" s="16">
        <v>30</v>
      </c>
      <c r="G255" s="16">
        <v>26</v>
      </c>
      <c r="H255" s="18">
        <f t="shared" si="7"/>
        <v>4</v>
      </c>
      <c r="I255" s="19">
        <f t="shared" si="1"/>
        <v>2133.3333333333335</v>
      </c>
      <c r="J255" s="16">
        <v>0</v>
      </c>
      <c r="K255" s="20">
        <v>0</v>
      </c>
      <c r="L255" s="21"/>
      <c r="M255" s="21"/>
      <c r="N255" s="16">
        <v>0</v>
      </c>
      <c r="O255" s="16">
        <v>0</v>
      </c>
      <c r="P255" s="16">
        <v>1</v>
      </c>
      <c r="Q255" s="16">
        <v>0</v>
      </c>
      <c r="R255" s="16">
        <v>3</v>
      </c>
      <c r="S255" s="22">
        <v>16000</v>
      </c>
      <c r="T255" s="19">
        <f t="shared" si="2"/>
        <v>0</v>
      </c>
      <c r="U255" s="19">
        <f t="shared" si="3"/>
        <v>13867</v>
      </c>
      <c r="V255" s="22">
        <v>13867</v>
      </c>
      <c r="W255" s="31">
        <v>0</v>
      </c>
      <c r="X255" s="22">
        <v>0</v>
      </c>
      <c r="Y255" s="22">
        <v>0</v>
      </c>
      <c r="Z255" s="22">
        <v>0</v>
      </c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v>0</v>
      </c>
      <c r="AG255" s="22">
        <v>0</v>
      </c>
      <c r="AH255" s="22">
        <v>0</v>
      </c>
      <c r="AI255" s="22">
        <v>0</v>
      </c>
      <c r="AJ255" s="22">
        <v>0</v>
      </c>
      <c r="AK255" s="22">
        <v>0</v>
      </c>
      <c r="AL255" s="22">
        <v>0</v>
      </c>
      <c r="AM255" s="22">
        <v>0</v>
      </c>
      <c r="AN255" s="22">
        <v>0</v>
      </c>
      <c r="AO255" s="22">
        <v>0</v>
      </c>
      <c r="AP255" s="22">
        <v>0</v>
      </c>
      <c r="AQ255" s="22">
        <v>0</v>
      </c>
      <c r="AR255" s="22">
        <v>0</v>
      </c>
      <c r="AS255" s="22">
        <v>0</v>
      </c>
      <c r="AT255" s="22">
        <v>0</v>
      </c>
      <c r="AU255" s="19">
        <f t="shared" si="4"/>
        <v>0</v>
      </c>
      <c r="AV255" s="22">
        <v>13866.67</v>
      </c>
      <c r="AW255" s="24" t="s">
        <v>54</v>
      </c>
      <c r="AX255" s="25">
        <v>45791</v>
      </c>
      <c r="AY255" s="15"/>
      <c r="AZ255" s="26"/>
      <c r="BA255" s="27">
        <f t="shared" si="8"/>
        <v>-3.3333333321934333E-3</v>
      </c>
      <c r="BB255" s="14"/>
      <c r="BC255" s="28"/>
    </row>
    <row r="256" spans="1:55" ht="21" x14ac:dyDescent="0.4">
      <c r="A256" s="15">
        <v>255</v>
      </c>
      <c r="B256" s="16">
        <v>80718</v>
      </c>
      <c r="C256" s="17" t="s">
        <v>139</v>
      </c>
      <c r="D256" s="16" t="s">
        <v>215</v>
      </c>
      <c r="E256" s="16" t="s">
        <v>452</v>
      </c>
      <c r="F256" s="16">
        <v>30</v>
      </c>
      <c r="G256" s="16">
        <v>23</v>
      </c>
      <c r="H256" s="18">
        <f t="shared" si="7"/>
        <v>7</v>
      </c>
      <c r="I256" s="19">
        <f t="shared" si="1"/>
        <v>3733.3333333333335</v>
      </c>
      <c r="J256" s="16">
        <v>0</v>
      </c>
      <c r="K256" s="20">
        <v>0</v>
      </c>
      <c r="L256" s="21"/>
      <c r="M256" s="21"/>
      <c r="N256" s="16">
        <v>0</v>
      </c>
      <c r="O256" s="16">
        <v>0</v>
      </c>
      <c r="P256" s="16">
        <v>6</v>
      </c>
      <c r="Q256" s="16">
        <v>0</v>
      </c>
      <c r="R256" s="16">
        <v>1</v>
      </c>
      <c r="S256" s="22">
        <v>16000</v>
      </c>
      <c r="T256" s="19">
        <f t="shared" si="2"/>
        <v>0</v>
      </c>
      <c r="U256" s="19">
        <f t="shared" si="3"/>
        <v>12267</v>
      </c>
      <c r="V256" s="22">
        <v>12267</v>
      </c>
      <c r="W256" s="31">
        <v>0</v>
      </c>
      <c r="X256" s="22">
        <v>0</v>
      </c>
      <c r="Y256" s="22">
        <v>0</v>
      </c>
      <c r="Z256" s="22">
        <v>0</v>
      </c>
      <c r="AA256" s="22">
        <v>0</v>
      </c>
      <c r="AB256" s="22">
        <v>0</v>
      </c>
      <c r="AC256" s="22">
        <v>0</v>
      </c>
      <c r="AD256" s="22">
        <v>0</v>
      </c>
      <c r="AE256" s="22">
        <v>0</v>
      </c>
      <c r="AF256" s="22">
        <v>0</v>
      </c>
      <c r="AG256" s="22">
        <v>0</v>
      </c>
      <c r="AH256" s="22">
        <v>0</v>
      </c>
      <c r="AI256" s="22">
        <v>0</v>
      </c>
      <c r="AJ256" s="22">
        <v>0</v>
      </c>
      <c r="AK256" s="22">
        <v>0</v>
      </c>
      <c r="AL256" s="22">
        <v>0</v>
      </c>
      <c r="AM256" s="22">
        <v>0</v>
      </c>
      <c r="AN256" s="22">
        <v>0</v>
      </c>
      <c r="AO256" s="22">
        <v>0</v>
      </c>
      <c r="AP256" s="22">
        <v>0</v>
      </c>
      <c r="AQ256" s="22">
        <v>0</v>
      </c>
      <c r="AR256" s="22">
        <v>0</v>
      </c>
      <c r="AS256" s="22">
        <v>0</v>
      </c>
      <c r="AT256" s="22">
        <v>0</v>
      </c>
      <c r="AU256" s="19">
        <f t="shared" si="4"/>
        <v>0</v>
      </c>
      <c r="AV256" s="22">
        <v>12266.67</v>
      </c>
      <c r="AW256" s="24" t="s">
        <v>54</v>
      </c>
      <c r="AX256" s="25">
        <v>45789</v>
      </c>
      <c r="AY256" s="15"/>
      <c r="AZ256" s="26"/>
      <c r="BA256" s="27">
        <f t="shared" si="8"/>
        <v>-3.3333333321934333E-3</v>
      </c>
      <c r="BB256" s="14"/>
      <c r="BC256" s="28"/>
    </row>
    <row r="257" spans="1:55" ht="28.8" x14ac:dyDescent="0.4">
      <c r="A257" s="15">
        <v>256</v>
      </c>
      <c r="B257" s="16">
        <v>22070</v>
      </c>
      <c r="C257" s="17" t="s">
        <v>453</v>
      </c>
      <c r="D257" s="16" t="s">
        <v>454</v>
      </c>
      <c r="E257" s="16" t="s">
        <v>455</v>
      </c>
      <c r="F257" s="16">
        <v>30</v>
      </c>
      <c r="G257" s="16">
        <v>30</v>
      </c>
      <c r="H257" s="18">
        <f t="shared" si="7"/>
        <v>0</v>
      </c>
      <c r="I257" s="19">
        <f t="shared" ref="I257:I475" si="9">+S257/F257*H257</f>
        <v>0</v>
      </c>
      <c r="J257" s="16">
        <v>0</v>
      </c>
      <c r="K257" s="20">
        <v>0</v>
      </c>
      <c r="L257" s="21"/>
      <c r="M257" s="21"/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22">
        <v>19360</v>
      </c>
      <c r="T257" s="19">
        <f t="shared" ref="T257:T475" si="10">+S257/F257*K257</f>
        <v>0</v>
      </c>
      <c r="U257" s="19">
        <f t="shared" ref="U257:U475" si="11">+V257+W257+X257+AN257</f>
        <v>19360</v>
      </c>
      <c r="V257" s="22">
        <v>19360</v>
      </c>
      <c r="W257" s="31">
        <v>0</v>
      </c>
      <c r="X257" s="22">
        <v>0</v>
      </c>
      <c r="Y257" s="22">
        <v>0</v>
      </c>
      <c r="Z257" s="22">
        <v>0</v>
      </c>
      <c r="AA257" s="22">
        <v>0</v>
      </c>
      <c r="AB257" s="22">
        <v>0</v>
      </c>
      <c r="AC257" s="22">
        <v>0</v>
      </c>
      <c r="AD257" s="22">
        <v>0</v>
      </c>
      <c r="AE257" s="22">
        <v>0</v>
      </c>
      <c r="AF257" s="22">
        <v>3000</v>
      </c>
      <c r="AG257" s="22">
        <v>0</v>
      </c>
      <c r="AH257" s="22">
        <v>0</v>
      </c>
      <c r="AI257" s="22">
        <v>0</v>
      </c>
      <c r="AJ257" s="22">
        <v>0</v>
      </c>
      <c r="AK257" s="22">
        <v>0</v>
      </c>
      <c r="AL257" s="22">
        <v>0</v>
      </c>
      <c r="AM257" s="22">
        <v>0</v>
      </c>
      <c r="AN257" s="22">
        <v>0</v>
      </c>
      <c r="AO257" s="22">
        <v>0</v>
      </c>
      <c r="AP257" s="22">
        <v>0</v>
      </c>
      <c r="AQ257" s="22">
        <v>0</v>
      </c>
      <c r="AR257" s="22">
        <v>0</v>
      </c>
      <c r="AS257" s="22">
        <v>0</v>
      </c>
      <c r="AT257" s="22">
        <v>0</v>
      </c>
      <c r="AU257" s="19">
        <f t="shared" ref="AU257:AU475" si="12">+Z257+AB257+AC257+AD257+AE257+AF257+AG257+AH257+AI257+AJ257+AK257</f>
        <v>3000</v>
      </c>
      <c r="AV257" s="22">
        <v>16360</v>
      </c>
      <c r="AW257" s="24" t="s">
        <v>54</v>
      </c>
      <c r="AX257" s="25">
        <v>45789</v>
      </c>
      <c r="AY257" s="15"/>
      <c r="AZ257" s="26"/>
      <c r="BA257" s="27">
        <f t="shared" si="8"/>
        <v>0</v>
      </c>
      <c r="BB257" s="14"/>
      <c r="BC257" s="28"/>
    </row>
    <row r="258" spans="1:55" ht="28.8" x14ac:dyDescent="0.4">
      <c r="A258" s="15">
        <v>257</v>
      </c>
      <c r="B258" s="16">
        <v>22075</v>
      </c>
      <c r="C258" s="17" t="s">
        <v>453</v>
      </c>
      <c r="D258" s="16" t="s">
        <v>139</v>
      </c>
      <c r="E258" s="16" t="s">
        <v>456</v>
      </c>
      <c r="F258" s="16">
        <v>30</v>
      </c>
      <c r="G258" s="16">
        <v>30</v>
      </c>
      <c r="H258" s="18">
        <f t="shared" si="7"/>
        <v>0</v>
      </c>
      <c r="I258" s="19">
        <f t="shared" si="9"/>
        <v>0</v>
      </c>
      <c r="J258" s="16">
        <v>0</v>
      </c>
      <c r="K258" s="20">
        <v>0</v>
      </c>
      <c r="L258" s="21"/>
      <c r="M258" s="21"/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22">
        <v>17600</v>
      </c>
      <c r="T258" s="19">
        <f t="shared" si="10"/>
        <v>0</v>
      </c>
      <c r="U258" s="19">
        <f t="shared" si="11"/>
        <v>17600</v>
      </c>
      <c r="V258" s="22">
        <v>17600</v>
      </c>
      <c r="W258" s="31">
        <v>0</v>
      </c>
      <c r="X258" s="22">
        <v>0</v>
      </c>
      <c r="Y258" s="22">
        <v>0</v>
      </c>
      <c r="Z258" s="22">
        <v>0</v>
      </c>
      <c r="AA258" s="22">
        <v>0</v>
      </c>
      <c r="AB258" s="22">
        <v>0</v>
      </c>
      <c r="AC258" s="22">
        <v>0</v>
      </c>
      <c r="AD258" s="22">
        <v>0</v>
      </c>
      <c r="AE258" s="22">
        <v>0</v>
      </c>
      <c r="AF258" s="22">
        <v>3000</v>
      </c>
      <c r="AG258" s="22">
        <v>0</v>
      </c>
      <c r="AH258" s="22">
        <v>0</v>
      </c>
      <c r="AI258" s="22">
        <v>0</v>
      </c>
      <c r="AJ258" s="22">
        <v>0</v>
      </c>
      <c r="AK258" s="22">
        <v>0</v>
      </c>
      <c r="AL258" s="22">
        <v>0</v>
      </c>
      <c r="AM258" s="22">
        <v>0</v>
      </c>
      <c r="AN258" s="22">
        <v>0</v>
      </c>
      <c r="AO258" s="22">
        <v>0</v>
      </c>
      <c r="AP258" s="22">
        <v>0</v>
      </c>
      <c r="AQ258" s="22">
        <v>0</v>
      </c>
      <c r="AR258" s="22">
        <v>0</v>
      </c>
      <c r="AS258" s="22">
        <v>0</v>
      </c>
      <c r="AT258" s="22">
        <v>0</v>
      </c>
      <c r="AU258" s="19">
        <f t="shared" si="12"/>
        <v>3000</v>
      </c>
      <c r="AV258" s="22">
        <v>14600</v>
      </c>
      <c r="AW258" s="24" t="s">
        <v>54</v>
      </c>
      <c r="AX258" s="25">
        <v>45789</v>
      </c>
      <c r="AY258" s="15"/>
      <c r="AZ258" s="26"/>
      <c r="BA258" s="27">
        <f t="shared" si="8"/>
        <v>0</v>
      </c>
      <c r="BB258" s="14"/>
      <c r="BC258" s="28"/>
    </row>
    <row r="259" spans="1:55" ht="28.8" x14ac:dyDescent="0.4">
      <c r="A259" s="15">
        <v>258</v>
      </c>
      <c r="B259" s="16">
        <v>22510</v>
      </c>
      <c r="C259" s="17" t="s">
        <v>453</v>
      </c>
      <c r="D259" s="16" t="s">
        <v>139</v>
      </c>
      <c r="E259" s="16" t="s">
        <v>457</v>
      </c>
      <c r="F259" s="16">
        <v>30</v>
      </c>
      <c r="G259" s="16">
        <v>24</v>
      </c>
      <c r="H259" s="18">
        <f t="shared" si="7"/>
        <v>6</v>
      </c>
      <c r="I259" s="19">
        <f t="shared" si="9"/>
        <v>3520</v>
      </c>
      <c r="J259" s="16">
        <v>0</v>
      </c>
      <c r="K259" s="20">
        <v>0</v>
      </c>
      <c r="L259" s="21"/>
      <c r="M259" s="21"/>
      <c r="N259" s="16">
        <v>0</v>
      </c>
      <c r="O259" s="16">
        <v>0</v>
      </c>
      <c r="P259" s="16">
        <v>5</v>
      </c>
      <c r="Q259" s="16">
        <v>0</v>
      </c>
      <c r="R259" s="16">
        <v>1</v>
      </c>
      <c r="S259" s="22">
        <v>17600</v>
      </c>
      <c r="T259" s="19">
        <f t="shared" si="10"/>
        <v>0</v>
      </c>
      <c r="U259" s="19">
        <f t="shared" si="11"/>
        <v>14080</v>
      </c>
      <c r="V259" s="22">
        <v>14080</v>
      </c>
      <c r="W259" s="31">
        <v>0</v>
      </c>
      <c r="X259" s="22">
        <v>0</v>
      </c>
      <c r="Y259" s="22">
        <v>0</v>
      </c>
      <c r="Z259" s="22">
        <v>0</v>
      </c>
      <c r="AA259" s="22">
        <v>0</v>
      </c>
      <c r="AB259" s="22">
        <v>0</v>
      </c>
      <c r="AC259" s="22">
        <v>0</v>
      </c>
      <c r="AD259" s="22">
        <v>0</v>
      </c>
      <c r="AE259" s="22">
        <v>0</v>
      </c>
      <c r="AF259" s="22">
        <v>2000</v>
      </c>
      <c r="AG259" s="22">
        <v>0</v>
      </c>
      <c r="AH259" s="22">
        <v>0</v>
      </c>
      <c r="AI259" s="22">
        <v>0</v>
      </c>
      <c r="AJ259" s="22">
        <v>0</v>
      </c>
      <c r="AK259" s="22">
        <v>0</v>
      </c>
      <c r="AL259" s="22">
        <v>0</v>
      </c>
      <c r="AM259" s="22">
        <v>0</v>
      </c>
      <c r="AN259" s="22">
        <v>0</v>
      </c>
      <c r="AO259" s="22">
        <v>0</v>
      </c>
      <c r="AP259" s="22">
        <v>0</v>
      </c>
      <c r="AQ259" s="22">
        <v>0</v>
      </c>
      <c r="AR259" s="22">
        <v>0</v>
      </c>
      <c r="AS259" s="22">
        <v>0</v>
      </c>
      <c r="AT259" s="22">
        <v>0</v>
      </c>
      <c r="AU259" s="19">
        <f t="shared" si="12"/>
        <v>2000</v>
      </c>
      <c r="AV259" s="22">
        <v>12080</v>
      </c>
      <c r="AW259" s="24" t="s">
        <v>54</v>
      </c>
      <c r="AX259" s="25">
        <v>45789</v>
      </c>
      <c r="AY259" s="15"/>
      <c r="AZ259" s="26"/>
      <c r="BA259" s="27">
        <f t="shared" si="8"/>
        <v>0</v>
      </c>
      <c r="BB259" s="14"/>
      <c r="BC259" s="28"/>
    </row>
    <row r="260" spans="1:55" ht="28.8" x14ac:dyDescent="0.4">
      <c r="A260" s="15">
        <v>259</v>
      </c>
      <c r="B260" s="16">
        <v>22152</v>
      </c>
      <c r="C260" s="17" t="s">
        <v>453</v>
      </c>
      <c r="D260" s="16" t="s">
        <v>139</v>
      </c>
      <c r="E260" s="16" t="s">
        <v>458</v>
      </c>
      <c r="F260" s="16">
        <v>30</v>
      </c>
      <c r="G260" s="16">
        <v>30</v>
      </c>
      <c r="H260" s="18">
        <f t="shared" si="7"/>
        <v>0</v>
      </c>
      <c r="I260" s="19">
        <f t="shared" si="9"/>
        <v>0</v>
      </c>
      <c r="J260" s="16">
        <v>0</v>
      </c>
      <c r="K260" s="20">
        <v>0</v>
      </c>
      <c r="L260" s="21"/>
      <c r="M260" s="21"/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32">
        <v>19360</v>
      </c>
      <c r="T260" s="19">
        <f t="shared" si="10"/>
        <v>0</v>
      </c>
      <c r="U260" s="19">
        <f t="shared" si="11"/>
        <v>19360</v>
      </c>
      <c r="V260" s="22">
        <v>19360</v>
      </c>
      <c r="W260" s="31">
        <v>0</v>
      </c>
      <c r="X260" s="22">
        <v>0</v>
      </c>
      <c r="Y260" s="22">
        <v>0</v>
      </c>
      <c r="Z260" s="22">
        <v>0</v>
      </c>
      <c r="AA260" s="22">
        <v>0</v>
      </c>
      <c r="AB260" s="22">
        <v>0</v>
      </c>
      <c r="AC260" s="22">
        <v>0</v>
      </c>
      <c r="AD260" s="22">
        <v>0</v>
      </c>
      <c r="AE260" s="22">
        <v>0</v>
      </c>
      <c r="AF260" s="22">
        <v>0</v>
      </c>
      <c r="AG260" s="22">
        <v>0</v>
      </c>
      <c r="AH260" s="22">
        <v>0</v>
      </c>
      <c r="AI260" s="22">
        <v>0</v>
      </c>
      <c r="AJ260" s="22">
        <v>0</v>
      </c>
      <c r="AK260" s="22">
        <v>0</v>
      </c>
      <c r="AL260" s="22">
        <v>0</v>
      </c>
      <c r="AM260" s="22">
        <v>0</v>
      </c>
      <c r="AN260" s="22">
        <v>0</v>
      </c>
      <c r="AO260" s="22">
        <v>0</v>
      </c>
      <c r="AP260" s="22">
        <v>0</v>
      </c>
      <c r="AQ260" s="22">
        <v>0</v>
      </c>
      <c r="AR260" s="22">
        <v>0</v>
      </c>
      <c r="AS260" s="22">
        <v>0</v>
      </c>
      <c r="AT260" s="22">
        <v>0</v>
      </c>
      <c r="AU260" s="19">
        <f t="shared" si="12"/>
        <v>0</v>
      </c>
      <c r="AV260" s="22">
        <v>19360</v>
      </c>
      <c r="AW260" s="24" t="s">
        <v>54</v>
      </c>
      <c r="AX260" s="25">
        <v>45789</v>
      </c>
      <c r="AY260" s="15"/>
      <c r="AZ260" s="26"/>
      <c r="BA260" s="27">
        <f t="shared" si="8"/>
        <v>0</v>
      </c>
      <c r="BB260" s="14"/>
      <c r="BC260" s="28"/>
    </row>
    <row r="261" spans="1:55" ht="28.8" x14ac:dyDescent="0.4">
      <c r="A261" s="15">
        <v>260</v>
      </c>
      <c r="B261" s="16">
        <v>13009</v>
      </c>
      <c r="C261" s="17" t="s">
        <v>453</v>
      </c>
      <c r="D261" s="16" t="s">
        <v>139</v>
      </c>
      <c r="E261" s="16" t="s">
        <v>459</v>
      </c>
      <c r="F261" s="16">
        <v>30</v>
      </c>
      <c r="G261" s="16">
        <v>28</v>
      </c>
      <c r="H261" s="18">
        <f t="shared" si="7"/>
        <v>2</v>
      </c>
      <c r="I261" s="19">
        <f t="shared" si="9"/>
        <v>1173.3333333333333</v>
      </c>
      <c r="J261" s="16">
        <v>0</v>
      </c>
      <c r="K261" s="20">
        <v>0</v>
      </c>
      <c r="L261" s="21"/>
      <c r="M261" s="21"/>
      <c r="N261" s="16">
        <v>0</v>
      </c>
      <c r="O261" s="16">
        <v>0</v>
      </c>
      <c r="P261" s="16">
        <v>2</v>
      </c>
      <c r="Q261" s="16">
        <v>0</v>
      </c>
      <c r="R261" s="16">
        <v>0</v>
      </c>
      <c r="S261" s="32">
        <v>17600</v>
      </c>
      <c r="T261" s="19">
        <f t="shared" si="10"/>
        <v>0</v>
      </c>
      <c r="U261" s="19">
        <f t="shared" si="11"/>
        <v>16427</v>
      </c>
      <c r="V261" s="22">
        <v>16427</v>
      </c>
      <c r="W261" s="31">
        <v>0</v>
      </c>
      <c r="X261" s="22">
        <v>0</v>
      </c>
      <c r="Y261" s="22">
        <v>0</v>
      </c>
      <c r="Z261" s="22">
        <v>0</v>
      </c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  <c r="AF261" s="22">
        <v>2000</v>
      </c>
      <c r="AG261" s="22">
        <v>0</v>
      </c>
      <c r="AH261" s="22">
        <v>0</v>
      </c>
      <c r="AI261" s="22">
        <v>0</v>
      </c>
      <c r="AJ261" s="22">
        <v>0</v>
      </c>
      <c r="AK261" s="22">
        <v>0</v>
      </c>
      <c r="AL261" s="22">
        <v>0</v>
      </c>
      <c r="AM261" s="22">
        <v>0</v>
      </c>
      <c r="AN261" s="22">
        <v>0</v>
      </c>
      <c r="AO261" s="22">
        <v>0</v>
      </c>
      <c r="AP261" s="22">
        <v>0</v>
      </c>
      <c r="AQ261" s="22">
        <v>0</v>
      </c>
      <c r="AR261" s="22">
        <v>0</v>
      </c>
      <c r="AS261" s="22">
        <v>0</v>
      </c>
      <c r="AT261" s="22">
        <v>0</v>
      </c>
      <c r="AU261" s="19">
        <f t="shared" si="12"/>
        <v>2000</v>
      </c>
      <c r="AV261" s="22">
        <v>14426.67</v>
      </c>
      <c r="AW261" s="24" t="s">
        <v>54</v>
      </c>
      <c r="AX261" s="25">
        <v>45790</v>
      </c>
      <c r="AY261" s="15"/>
      <c r="AZ261" s="26"/>
      <c r="BA261" s="27">
        <f t="shared" si="8"/>
        <v>-3.3333333358314121E-3</v>
      </c>
      <c r="BB261" s="14"/>
      <c r="BC261" s="28"/>
    </row>
    <row r="262" spans="1:55" ht="28.8" x14ac:dyDescent="0.4">
      <c r="A262" s="15">
        <v>261</v>
      </c>
      <c r="B262" s="16">
        <v>22203</v>
      </c>
      <c r="C262" s="17" t="s">
        <v>453</v>
      </c>
      <c r="D262" s="16" t="s">
        <v>139</v>
      </c>
      <c r="E262" s="16" t="s">
        <v>460</v>
      </c>
      <c r="F262" s="16">
        <v>30</v>
      </c>
      <c r="G262" s="16">
        <v>29</v>
      </c>
      <c r="H262" s="18">
        <f t="shared" si="7"/>
        <v>1</v>
      </c>
      <c r="I262" s="19">
        <f t="shared" si="9"/>
        <v>586.66666666666663</v>
      </c>
      <c r="J262" s="16">
        <v>0</v>
      </c>
      <c r="K262" s="20">
        <v>0</v>
      </c>
      <c r="L262" s="21"/>
      <c r="M262" s="21"/>
      <c r="N262" s="16">
        <v>0</v>
      </c>
      <c r="O262" s="16">
        <v>0</v>
      </c>
      <c r="P262" s="16">
        <v>1</v>
      </c>
      <c r="Q262" s="16">
        <v>0</v>
      </c>
      <c r="R262" s="16">
        <v>0</v>
      </c>
      <c r="S262" s="22">
        <v>17600</v>
      </c>
      <c r="T262" s="19">
        <f t="shared" si="10"/>
        <v>0</v>
      </c>
      <c r="U262" s="19">
        <f t="shared" si="11"/>
        <v>17013</v>
      </c>
      <c r="V262" s="22">
        <v>17013</v>
      </c>
      <c r="W262" s="31">
        <v>0</v>
      </c>
      <c r="X262" s="22"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v>2000</v>
      </c>
      <c r="AG262" s="22">
        <v>0</v>
      </c>
      <c r="AH262" s="22">
        <v>0</v>
      </c>
      <c r="AI262" s="22">
        <v>0</v>
      </c>
      <c r="AJ262" s="22">
        <v>0</v>
      </c>
      <c r="AK262" s="22">
        <v>0</v>
      </c>
      <c r="AL262" s="22">
        <v>0</v>
      </c>
      <c r="AM262" s="22">
        <v>0</v>
      </c>
      <c r="AN262" s="22">
        <v>0</v>
      </c>
      <c r="AO262" s="22">
        <v>0</v>
      </c>
      <c r="AP262" s="22">
        <v>0</v>
      </c>
      <c r="AQ262" s="22">
        <v>0</v>
      </c>
      <c r="AR262" s="22">
        <v>0</v>
      </c>
      <c r="AS262" s="22">
        <v>0</v>
      </c>
      <c r="AT262" s="22">
        <v>0</v>
      </c>
      <c r="AU262" s="19">
        <f t="shared" si="12"/>
        <v>2000</v>
      </c>
      <c r="AV262" s="22">
        <v>15013.33</v>
      </c>
      <c r="AW262" s="24" t="s">
        <v>54</v>
      </c>
      <c r="AX262" s="25">
        <v>45789</v>
      </c>
      <c r="AY262" s="15"/>
      <c r="AZ262" s="26"/>
      <c r="BA262" s="27">
        <f t="shared" si="8"/>
        <v>3.3333333321934333E-3</v>
      </c>
      <c r="BB262" s="14"/>
      <c r="BC262" s="28"/>
    </row>
    <row r="263" spans="1:55" ht="21" x14ac:dyDescent="0.4">
      <c r="A263" s="15">
        <v>262</v>
      </c>
      <c r="B263" s="16">
        <v>12071</v>
      </c>
      <c r="C263" s="17" t="s">
        <v>453</v>
      </c>
      <c r="D263" s="16" t="s">
        <v>139</v>
      </c>
      <c r="E263" s="16" t="s">
        <v>461</v>
      </c>
      <c r="F263" s="16">
        <v>30</v>
      </c>
      <c r="G263" s="16">
        <v>30</v>
      </c>
      <c r="H263" s="18">
        <f t="shared" si="7"/>
        <v>0</v>
      </c>
      <c r="I263" s="19">
        <f t="shared" si="9"/>
        <v>0</v>
      </c>
      <c r="J263" s="16">
        <v>0</v>
      </c>
      <c r="K263" s="20">
        <v>0</v>
      </c>
      <c r="L263" s="21"/>
      <c r="M263" s="21"/>
      <c r="N263" s="16">
        <v>0</v>
      </c>
      <c r="O263" s="16">
        <v>0</v>
      </c>
      <c r="P263" s="16">
        <v>0</v>
      </c>
      <c r="Q263" s="16">
        <v>0</v>
      </c>
      <c r="R263" s="16">
        <v>0</v>
      </c>
      <c r="S263" s="22">
        <v>16000</v>
      </c>
      <c r="T263" s="19">
        <f t="shared" si="10"/>
        <v>0</v>
      </c>
      <c r="U263" s="19">
        <f t="shared" si="11"/>
        <v>16000</v>
      </c>
      <c r="V263" s="22">
        <v>16000</v>
      </c>
      <c r="W263" s="31">
        <v>0</v>
      </c>
      <c r="X263" s="22">
        <v>0</v>
      </c>
      <c r="Y263" s="22">
        <v>0</v>
      </c>
      <c r="Z263" s="22">
        <v>0</v>
      </c>
      <c r="AA263" s="22">
        <v>0</v>
      </c>
      <c r="AB263" s="22">
        <v>0</v>
      </c>
      <c r="AC263" s="22">
        <v>0</v>
      </c>
      <c r="AD263" s="22">
        <v>0</v>
      </c>
      <c r="AE263" s="22">
        <v>0</v>
      </c>
      <c r="AF263" s="22">
        <v>0</v>
      </c>
      <c r="AG263" s="22">
        <v>0</v>
      </c>
      <c r="AH263" s="22">
        <v>0</v>
      </c>
      <c r="AI263" s="22">
        <v>0</v>
      </c>
      <c r="AJ263" s="22">
        <v>0</v>
      </c>
      <c r="AK263" s="22">
        <v>0</v>
      </c>
      <c r="AL263" s="22">
        <v>0</v>
      </c>
      <c r="AM263" s="22">
        <v>0</v>
      </c>
      <c r="AN263" s="22">
        <v>0</v>
      </c>
      <c r="AO263" s="22">
        <v>0</v>
      </c>
      <c r="AP263" s="22">
        <v>0</v>
      </c>
      <c r="AQ263" s="22">
        <v>0</v>
      </c>
      <c r="AR263" s="22">
        <v>0</v>
      </c>
      <c r="AS263" s="22">
        <v>0</v>
      </c>
      <c r="AT263" s="22">
        <v>0</v>
      </c>
      <c r="AU263" s="19">
        <f t="shared" si="12"/>
        <v>0</v>
      </c>
      <c r="AV263" s="22">
        <v>16000</v>
      </c>
      <c r="AW263" s="24" t="s">
        <v>54</v>
      </c>
      <c r="AX263" s="25">
        <v>45789</v>
      </c>
      <c r="AY263" s="15"/>
      <c r="AZ263" s="26"/>
      <c r="BA263" s="27">
        <f t="shared" si="8"/>
        <v>1.8189894035458565E-12</v>
      </c>
      <c r="BB263" s="14"/>
      <c r="BC263" s="28"/>
    </row>
    <row r="264" spans="1:55" ht="28.8" x14ac:dyDescent="0.4">
      <c r="A264" s="15">
        <v>263</v>
      </c>
      <c r="B264" s="16">
        <v>80394</v>
      </c>
      <c r="C264" s="17" t="s">
        <v>453</v>
      </c>
      <c r="D264" s="16" t="s">
        <v>215</v>
      </c>
      <c r="E264" s="16" t="s">
        <v>462</v>
      </c>
      <c r="F264" s="16">
        <v>30</v>
      </c>
      <c r="G264" s="16">
        <v>30</v>
      </c>
      <c r="H264" s="18">
        <f t="shared" si="7"/>
        <v>0</v>
      </c>
      <c r="I264" s="19">
        <f t="shared" si="9"/>
        <v>0</v>
      </c>
      <c r="J264" s="16">
        <v>0</v>
      </c>
      <c r="K264" s="20">
        <v>0</v>
      </c>
      <c r="L264" s="21"/>
      <c r="M264" s="21"/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32">
        <v>17600</v>
      </c>
      <c r="T264" s="19">
        <f t="shared" si="10"/>
        <v>0</v>
      </c>
      <c r="U264" s="19">
        <f t="shared" si="11"/>
        <v>17600</v>
      </c>
      <c r="V264" s="22">
        <v>17600</v>
      </c>
      <c r="W264" s="31">
        <v>0</v>
      </c>
      <c r="X264" s="22">
        <v>0</v>
      </c>
      <c r="Y264" s="22">
        <v>0</v>
      </c>
      <c r="Z264" s="22">
        <v>0</v>
      </c>
      <c r="AA264" s="22">
        <v>0</v>
      </c>
      <c r="AB264" s="22">
        <v>0</v>
      </c>
      <c r="AC264" s="22">
        <v>1050</v>
      </c>
      <c r="AD264" s="22">
        <v>0</v>
      </c>
      <c r="AE264" s="22">
        <v>0</v>
      </c>
      <c r="AF264" s="22">
        <v>0</v>
      </c>
      <c r="AG264" s="22">
        <v>0</v>
      </c>
      <c r="AH264" s="22">
        <v>0</v>
      </c>
      <c r="AI264" s="22">
        <v>0</v>
      </c>
      <c r="AJ264" s="22">
        <v>0</v>
      </c>
      <c r="AK264" s="22">
        <v>0</v>
      </c>
      <c r="AL264" s="22">
        <v>0</v>
      </c>
      <c r="AM264" s="22">
        <v>0</v>
      </c>
      <c r="AN264" s="22">
        <v>0</v>
      </c>
      <c r="AO264" s="22">
        <v>0</v>
      </c>
      <c r="AP264" s="22">
        <v>0</v>
      </c>
      <c r="AQ264" s="22">
        <v>0</v>
      </c>
      <c r="AR264" s="22">
        <v>0</v>
      </c>
      <c r="AS264" s="22">
        <v>0</v>
      </c>
      <c r="AT264" s="22">
        <v>0</v>
      </c>
      <c r="AU264" s="19">
        <f t="shared" si="12"/>
        <v>1050</v>
      </c>
      <c r="AV264" s="22">
        <v>16550</v>
      </c>
      <c r="AW264" s="24" t="s">
        <v>54</v>
      </c>
      <c r="AX264" s="25">
        <v>45789</v>
      </c>
      <c r="AY264" s="15"/>
      <c r="AZ264" s="26"/>
      <c r="BA264" s="27">
        <f t="shared" si="8"/>
        <v>0</v>
      </c>
      <c r="BB264" s="14"/>
      <c r="BC264" s="28"/>
    </row>
    <row r="265" spans="1:55" ht="28.8" x14ac:dyDescent="0.4">
      <c r="A265" s="15">
        <v>264</v>
      </c>
      <c r="B265" s="16">
        <v>80534</v>
      </c>
      <c r="C265" s="17" t="s">
        <v>453</v>
      </c>
      <c r="D265" s="16" t="s">
        <v>215</v>
      </c>
      <c r="E265" s="16" t="s">
        <v>463</v>
      </c>
      <c r="F265" s="16">
        <v>30</v>
      </c>
      <c r="G265" s="16">
        <v>29</v>
      </c>
      <c r="H265" s="18">
        <f t="shared" si="7"/>
        <v>1</v>
      </c>
      <c r="I265" s="19">
        <f t="shared" si="9"/>
        <v>533.33333333333337</v>
      </c>
      <c r="J265" s="16">
        <v>0</v>
      </c>
      <c r="K265" s="20">
        <v>0</v>
      </c>
      <c r="L265" s="21"/>
      <c r="M265" s="21"/>
      <c r="N265" s="16">
        <v>0</v>
      </c>
      <c r="O265" s="16">
        <v>0</v>
      </c>
      <c r="P265" s="16">
        <v>1</v>
      </c>
      <c r="Q265" s="16">
        <v>0</v>
      </c>
      <c r="R265" s="16">
        <v>0</v>
      </c>
      <c r="S265" s="22">
        <v>16000</v>
      </c>
      <c r="T265" s="19">
        <f t="shared" si="10"/>
        <v>0</v>
      </c>
      <c r="U265" s="19">
        <f t="shared" si="11"/>
        <v>15467</v>
      </c>
      <c r="V265" s="22">
        <v>15467</v>
      </c>
      <c r="W265" s="31">
        <v>0</v>
      </c>
      <c r="X265" s="22">
        <v>0</v>
      </c>
      <c r="Y265" s="22">
        <v>0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2">
        <v>0</v>
      </c>
      <c r="AG265" s="22">
        <v>0</v>
      </c>
      <c r="AH265" s="22">
        <v>0</v>
      </c>
      <c r="AI265" s="22">
        <v>0</v>
      </c>
      <c r="AJ265" s="22">
        <v>0</v>
      </c>
      <c r="AK265" s="22">
        <v>0</v>
      </c>
      <c r="AL265" s="22">
        <v>0</v>
      </c>
      <c r="AM265" s="22">
        <v>0</v>
      </c>
      <c r="AN265" s="22">
        <v>0</v>
      </c>
      <c r="AO265" s="22">
        <v>0</v>
      </c>
      <c r="AP265" s="22">
        <v>0</v>
      </c>
      <c r="AQ265" s="22">
        <v>0</v>
      </c>
      <c r="AR265" s="22">
        <v>0</v>
      </c>
      <c r="AS265" s="22">
        <v>0</v>
      </c>
      <c r="AT265" s="22">
        <v>0</v>
      </c>
      <c r="AU265" s="19">
        <f t="shared" si="12"/>
        <v>0</v>
      </c>
      <c r="AV265" s="22">
        <v>15466.67</v>
      </c>
      <c r="AW265" s="24" t="s">
        <v>54</v>
      </c>
      <c r="AX265" s="25">
        <v>45789</v>
      </c>
      <c r="AY265" s="15"/>
      <c r="AZ265" s="26"/>
      <c r="BA265" s="27">
        <f t="shared" si="8"/>
        <v>-3.3333333321934333E-3</v>
      </c>
      <c r="BB265" s="14"/>
      <c r="BC265" s="28"/>
    </row>
    <row r="266" spans="1:55" ht="21" x14ac:dyDescent="0.4">
      <c r="A266" s="15">
        <v>265</v>
      </c>
      <c r="B266" s="16">
        <v>80539</v>
      </c>
      <c r="C266" s="17" t="s">
        <v>453</v>
      </c>
      <c r="D266" s="16" t="s">
        <v>215</v>
      </c>
      <c r="E266" s="16" t="s">
        <v>386</v>
      </c>
      <c r="F266" s="16">
        <v>30</v>
      </c>
      <c r="G266" s="16">
        <v>28</v>
      </c>
      <c r="H266" s="18">
        <f t="shared" si="7"/>
        <v>2</v>
      </c>
      <c r="I266" s="19">
        <f t="shared" si="9"/>
        <v>1066.6666666666667</v>
      </c>
      <c r="J266" s="16">
        <v>0</v>
      </c>
      <c r="K266" s="20">
        <v>0</v>
      </c>
      <c r="L266" s="21"/>
      <c r="M266" s="21"/>
      <c r="N266" s="16">
        <v>0</v>
      </c>
      <c r="O266" s="16">
        <v>0</v>
      </c>
      <c r="P266" s="16">
        <v>2</v>
      </c>
      <c r="Q266" s="16">
        <v>0</v>
      </c>
      <c r="R266" s="16">
        <v>0</v>
      </c>
      <c r="S266" s="22">
        <v>16000</v>
      </c>
      <c r="T266" s="19">
        <f t="shared" si="10"/>
        <v>0</v>
      </c>
      <c r="U266" s="19">
        <f t="shared" si="11"/>
        <v>14933</v>
      </c>
      <c r="V266" s="22">
        <v>14933</v>
      </c>
      <c r="W266" s="31">
        <v>0</v>
      </c>
      <c r="X266" s="22">
        <v>0</v>
      </c>
      <c r="Y266" s="22">
        <v>0</v>
      </c>
      <c r="Z266" s="22">
        <v>0</v>
      </c>
      <c r="AA266" s="22">
        <v>0</v>
      </c>
      <c r="AB266" s="22">
        <v>0</v>
      </c>
      <c r="AC266" s="22">
        <v>0</v>
      </c>
      <c r="AD266" s="22">
        <v>0</v>
      </c>
      <c r="AE266" s="22">
        <v>0</v>
      </c>
      <c r="AF266" s="22">
        <v>0</v>
      </c>
      <c r="AG266" s="22">
        <v>0</v>
      </c>
      <c r="AH266" s="22">
        <v>0</v>
      </c>
      <c r="AI266" s="22">
        <v>0</v>
      </c>
      <c r="AJ266" s="22">
        <v>0</v>
      </c>
      <c r="AK266" s="22">
        <v>0</v>
      </c>
      <c r="AL266" s="22">
        <v>0</v>
      </c>
      <c r="AM266" s="22">
        <v>0</v>
      </c>
      <c r="AN266" s="22">
        <v>0</v>
      </c>
      <c r="AO266" s="22">
        <v>0</v>
      </c>
      <c r="AP266" s="22">
        <v>0</v>
      </c>
      <c r="AQ266" s="22">
        <v>0</v>
      </c>
      <c r="AR266" s="22">
        <v>0</v>
      </c>
      <c r="AS266" s="22">
        <v>0</v>
      </c>
      <c r="AT266" s="22">
        <v>0</v>
      </c>
      <c r="AU266" s="19">
        <f t="shared" si="12"/>
        <v>0</v>
      </c>
      <c r="AV266" s="22">
        <v>14933.33</v>
      </c>
      <c r="AW266" s="24" t="s">
        <v>54</v>
      </c>
      <c r="AX266" s="25">
        <v>45789</v>
      </c>
      <c r="AY266" s="15"/>
      <c r="AZ266" s="26"/>
      <c r="BA266" s="27">
        <f t="shared" si="8"/>
        <v>3.3333333340124227E-3</v>
      </c>
      <c r="BB266" s="14"/>
      <c r="BC266" s="28"/>
    </row>
    <row r="267" spans="1:55" ht="28.8" x14ac:dyDescent="0.4">
      <c r="A267" s="15">
        <v>266</v>
      </c>
      <c r="B267" s="16">
        <v>80683</v>
      </c>
      <c r="C267" s="17" t="s">
        <v>453</v>
      </c>
      <c r="D267" s="16" t="s">
        <v>139</v>
      </c>
      <c r="E267" s="16" t="s">
        <v>464</v>
      </c>
      <c r="F267" s="16">
        <v>30</v>
      </c>
      <c r="G267" s="16">
        <v>13</v>
      </c>
      <c r="H267" s="18">
        <f t="shared" si="7"/>
        <v>17</v>
      </c>
      <c r="I267" s="19">
        <f t="shared" si="9"/>
        <v>9066.6666666666679</v>
      </c>
      <c r="J267" s="16">
        <v>9</v>
      </c>
      <c r="K267" s="20">
        <v>4</v>
      </c>
      <c r="L267" s="21"/>
      <c r="M267" s="21"/>
      <c r="N267" s="16">
        <v>0</v>
      </c>
      <c r="O267" s="16">
        <v>0</v>
      </c>
      <c r="P267" s="16">
        <v>0</v>
      </c>
      <c r="Q267" s="16">
        <v>0</v>
      </c>
      <c r="R267" s="16">
        <v>17</v>
      </c>
      <c r="S267" s="22">
        <v>16000</v>
      </c>
      <c r="T267" s="19">
        <f t="shared" si="10"/>
        <v>2133.3333333333335</v>
      </c>
      <c r="U267" s="19">
        <f t="shared" si="11"/>
        <v>4800</v>
      </c>
      <c r="V267" s="22">
        <v>2133</v>
      </c>
      <c r="W267" s="31">
        <v>2667</v>
      </c>
      <c r="X267" s="22">
        <v>0</v>
      </c>
      <c r="Y267" s="22">
        <v>0</v>
      </c>
      <c r="Z267" s="22">
        <v>0</v>
      </c>
      <c r="AA267" s="22">
        <v>0</v>
      </c>
      <c r="AB267" s="22">
        <v>0</v>
      </c>
      <c r="AC267" s="22">
        <v>1050</v>
      </c>
      <c r="AD267" s="22">
        <v>0</v>
      </c>
      <c r="AE267" s="22">
        <v>0</v>
      </c>
      <c r="AF267" s="22">
        <v>0</v>
      </c>
      <c r="AG267" s="22">
        <v>0</v>
      </c>
      <c r="AH267" s="22">
        <v>0</v>
      </c>
      <c r="AI267" s="22">
        <v>0</v>
      </c>
      <c r="AJ267" s="22">
        <v>0</v>
      </c>
      <c r="AK267" s="22">
        <v>0</v>
      </c>
      <c r="AL267" s="22">
        <v>0</v>
      </c>
      <c r="AM267" s="22">
        <v>0</v>
      </c>
      <c r="AN267" s="22">
        <v>0</v>
      </c>
      <c r="AO267" s="22">
        <v>0</v>
      </c>
      <c r="AP267" s="22">
        <v>0</v>
      </c>
      <c r="AQ267" s="22">
        <v>0</v>
      </c>
      <c r="AR267" s="22">
        <v>0</v>
      </c>
      <c r="AS267" s="22">
        <v>0</v>
      </c>
      <c r="AT267" s="22">
        <v>0</v>
      </c>
      <c r="AU267" s="19">
        <f t="shared" si="12"/>
        <v>1050</v>
      </c>
      <c r="AV267" s="22">
        <f>4800-1050</f>
        <v>3750</v>
      </c>
      <c r="AW267" s="24"/>
      <c r="AX267" s="34">
        <v>-1050</v>
      </c>
      <c r="AY267" s="15"/>
      <c r="AZ267" s="26"/>
      <c r="BA267" s="27">
        <f t="shared" si="8"/>
        <v>0</v>
      </c>
      <c r="BB267" s="14"/>
      <c r="BC267" s="28"/>
    </row>
    <row r="268" spans="1:55" ht="28.8" x14ac:dyDescent="0.4">
      <c r="A268" s="15">
        <v>267</v>
      </c>
      <c r="B268" s="16">
        <v>80684</v>
      </c>
      <c r="C268" s="17" t="s">
        <v>453</v>
      </c>
      <c r="D268" s="16" t="s">
        <v>139</v>
      </c>
      <c r="E268" s="16" t="s">
        <v>465</v>
      </c>
      <c r="F268" s="16">
        <v>30</v>
      </c>
      <c r="G268" s="16">
        <v>29</v>
      </c>
      <c r="H268" s="18">
        <f t="shared" si="7"/>
        <v>1</v>
      </c>
      <c r="I268" s="19">
        <f t="shared" si="9"/>
        <v>533.33333333333337</v>
      </c>
      <c r="J268" s="16">
        <v>0</v>
      </c>
      <c r="K268" s="20">
        <v>0</v>
      </c>
      <c r="L268" s="21"/>
      <c r="M268" s="21"/>
      <c r="N268" s="16">
        <v>0</v>
      </c>
      <c r="O268" s="16">
        <v>0</v>
      </c>
      <c r="P268" s="16">
        <v>1</v>
      </c>
      <c r="Q268" s="16">
        <v>0</v>
      </c>
      <c r="R268" s="16">
        <v>0</v>
      </c>
      <c r="S268" s="22">
        <v>16000</v>
      </c>
      <c r="T268" s="19">
        <f t="shared" si="10"/>
        <v>0</v>
      </c>
      <c r="U268" s="19">
        <f t="shared" si="11"/>
        <v>15467</v>
      </c>
      <c r="V268" s="22">
        <v>15467</v>
      </c>
      <c r="W268" s="31">
        <v>0</v>
      </c>
      <c r="X268" s="22">
        <v>0</v>
      </c>
      <c r="Y268" s="22">
        <v>0</v>
      </c>
      <c r="Z268" s="22">
        <v>0</v>
      </c>
      <c r="AA268" s="22">
        <v>0</v>
      </c>
      <c r="AB268" s="22">
        <v>0</v>
      </c>
      <c r="AC268" s="22">
        <v>0</v>
      </c>
      <c r="AD268" s="22">
        <v>0</v>
      </c>
      <c r="AE268" s="22">
        <v>0</v>
      </c>
      <c r="AF268" s="22">
        <v>2000</v>
      </c>
      <c r="AG268" s="22">
        <v>0</v>
      </c>
      <c r="AH268" s="22">
        <v>0</v>
      </c>
      <c r="AI268" s="22">
        <v>0</v>
      </c>
      <c r="AJ268" s="22">
        <v>0</v>
      </c>
      <c r="AK268" s="22">
        <v>0</v>
      </c>
      <c r="AL268" s="22">
        <v>0</v>
      </c>
      <c r="AM268" s="22">
        <v>0</v>
      </c>
      <c r="AN268" s="22">
        <v>0</v>
      </c>
      <c r="AO268" s="22">
        <v>0</v>
      </c>
      <c r="AP268" s="22">
        <v>0</v>
      </c>
      <c r="AQ268" s="22">
        <v>0</v>
      </c>
      <c r="AR268" s="22">
        <v>0</v>
      </c>
      <c r="AS268" s="22">
        <v>0</v>
      </c>
      <c r="AT268" s="22">
        <v>0</v>
      </c>
      <c r="AU268" s="19">
        <f t="shared" si="12"/>
        <v>2000</v>
      </c>
      <c r="AV268" s="22">
        <v>13466.67</v>
      </c>
      <c r="AW268" s="24" t="s">
        <v>54</v>
      </c>
      <c r="AX268" s="25">
        <v>45789</v>
      </c>
      <c r="AY268" s="15"/>
      <c r="AZ268" s="26"/>
      <c r="BA268" s="27">
        <f t="shared" si="8"/>
        <v>-3.3333333321934333E-3</v>
      </c>
      <c r="BB268" s="14"/>
      <c r="BC268" s="28"/>
    </row>
    <row r="269" spans="1:55" ht="21" x14ac:dyDescent="0.4">
      <c r="A269" s="15">
        <v>268</v>
      </c>
      <c r="B269" s="16">
        <v>80685</v>
      </c>
      <c r="C269" s="17" t="s">
        <v>453</v>
      </c>
      <c r="D269" s="16" t="s">
        <v>139</v>
      </c>
      <c r="E269" s="16" t="s">
        <v>466</v>
      </c>
      <c r="F269" s="16">
        <v>30</v>
      </c>
      <c r="G269" s="16">
        <v>27</v>
      </c>
      <c r="H269" s="18">
        <f t="shared" si="7"/>
        <v>3</v>
      </c>
      <c r="I269" s="19">
        <f t="shared" si="9"/>
        <v>1600</v>
      </c>
      <c r="J269" s="16">
        <v>0</v>
      </c>
      <c r="K269" s="20">
        <v>0</v>
      </c>
      <c r="L269" s="21"/>
      <c r="M269" s="21"/>
      <c r="N269" s="16">
        <v>0</v>
      </c>
      <c r="O269" s="16">
        <v>0</v>
      </c>
      <c r="P269" s="16">
        <v>0</v>
      </c>
      <c r="Q269" s="16">
        <v>0</v>
      </c>
      <c r="R269" s="16">
        <v>3</v>
      </c>
      <c r="S269" s="22">
        <v>16000</v>
      </c>
      <c r="T269" s="19">
        <f t="shared" si="10"/>
        <v>0</v>
      </c>
      <c r="U269" s="19">
        <f t="shared" si="11"/>
        <v>14400</v>
      </c>
      <c r="V269" s="22">
        <v>14400</v>
      </c>
      <c r="W269" s="31">
        <v>0</v>
      </c>
      <c r="X269" s="22">
        <v>0</v>
      </c>
      <c r="Y269" s="22">
        <v>0</v>
      </c>
      <c r="Z269" s="22">
        <v>0</v>
      </c>
      <c r="AA269" s="22">
        <v>0</v>
      </c>
      <c r="AB269" s="22">
        <v>0</v>
      </c>
      <c r="AC269" s="22">
        <v>1050</v>
      </c>
      <c r="AD269" s="22">
        <v>0</v>
      </c>
      <c r="AE269" s="22">
        <v>0</v>
      </c>
      <c r="AF269" s="22">
        <v>5000</v>
      </c>
      <c r="AG269" s="22">
        <v>0</v>
      </c>
      <c r="AH269" s="22">
        <v>0</v>
      </c>
      <c r="AI269" s="22">
        <v>0</v>
      </c>
      <c r="AJ269" s="22">
        <v>0</v>
      </c>
      <c r="AK269" s="22">
        <v>0</v>
      </c>
      <c r="AL269" s="22">
        <v>0</v>
      </c>
      <c r="AM269" s="22">
        <v>0</v>
      </c>
      <c r="AN269" s="22">
        <v>0</v>
      </c>
      <c r="AO269" s="22">
        <v>0</v>
      </c>
      <c r="AP269" s="22">
        <v>0</v>
      </c>
      <c r="AQ269" s="22">
        <v>0</v>
      </c>
      <c r="AR269" s="22">
        <v>0</v>
      </c>
      <c r="AS269" s="22">
        <v>0</v>
      </c>
      <c r="AT269" s="22">
        <v>0</v>
      </c>
      <c r="AU269" s="19">
        <f t="shared" si="12"/>
        <v>6050</v>
      </c>
      <c r="AV269" s="22">
        <v>8350</v>
      </c>
      <c r="AW269" s="24" t="s">
        <v>54</v>
      </c>
      <c r="AX269" s="25">
        <v>45789</v>
      </c>
      <c r="AY269" s="15"/>
      <c r="AZ269" s="26"/>
      <c r="BA269" s="27">
        <f t="shared" si="8"/>
        <v>1.8189894035458565E-12</v>
      </c>
      <c r="BB269" s="14"/>
      <c r="BC269" s="28"/>
    </row>
    <row r="270" spans="1:55" ht="28.8" x14ac:dyDescent="0.4">
      <c r="A270" s="15">
        <v>269</v>
      </c>
      <c r="B270" s="16">
        <v>80686</v>
      </c>
      <c r="C270" s="17" t="s">
        <v>453</v>
      </c>
      <c r="D270" s="16" t="s">
        <v>215</v>
      </c>
      <c r="E270" s="16" t="s">
        <v>467</v>
      </c>
      <c r="F270" s="16">
        <v>30</v>
      </c>
      <c r="G270" s="16">
        <v>9</v>
      </c>
      <c r="H270" s="18">
        <f t="shared" si="7"/>
        <v>21</v>
      </c>
      <c r="I270" s="19">
        <f t="shared" si="9"/>
        <v>11200</v>
      </c>
      <c r="J270" s="16">
        <v>0</v>
      </c>
      <c r="K270" s="20">
        <v>0</v>
      </c>
      <c r="L270" s="21"/>
      <c r="M270" s="21"/>
      <c r="N270" s="16">
        <v>0</v>
      </c>
      <c r="O270" s="16">
        <v>0</v>
      </c>
      <c r="P270" s="16">
        <v>0</v>
      </c>
      <c r="Q270" s="16">
        <v>0</v>
      </c>
      <c r="R270" s="16">
        <v>21</v>
      </c>
      <c r="S270" s="22">
        <v>16000</v>
      </c>
      <c r="T270" s="19">
        <f t="shared" si="10"/>
        <v>0</v>
      </c>
      <c r="U270" s="19">
        <f t="shared" si="11"/>
        <v>4800</v>
      </c>
      <c r="V270" s="22">
        <v>4800</v>
      </c>
      <c r="W270" s="31">
        <v>0</v>
      </c>
      <c r="X270" s="22">
        <v>0</v>
      </c>
      <c r="Y270" s="22">
        <v>0</v>
      </c>
      <c r="Z270" s="22">
        <v>0</v>
      </c>
      <c r="AA270" s="22">
        <v>0</v>
      </c>
      <c r="AB270" s="22">
        <v>0</v>
      </c>
      <c r="AC270" s="22">
        <v>0</v>
      </c>
      <c r="AD270" s="22">
        <v>0</v>
      </c>
      <c r="AE270" s="22">
        <v>0</v>
      </c>
      <c r="AF270" s="22">
        <v>0</v>
      </c>
      <c r="AG270" s="22">
        <v>0</v>
      </c>
      <c r="AH270" s="22">
        <v>0</v>
      </c>
      <c r="AI270" s="22">
        <v>0</v>
      </c>
      <c r="AJ270" s="22">
        <v>0</v>
      </c>
      <c r="AK270" s="22">
        <v>0</v>
      </c>
      <c r="AL270" s="22">
        <v>0</v>
      </c>
      <c r="AM270" s="22">
        <v>0</v>
      </c>
      <c r="AN270" s="22">
        <v>0</v>
      </c>
      <c r="AO270" s="22">
        <v>0</v>
      </c>
      <c r="AP270" s="22">
        <v>0</v>
      </c>
      <c r="AQ270" s="22">
        <v>0</v>
      </c>
      <c r="AR270" s="22">
        <v>0</v>
      </c>
      <c r="AS270" s="22">
        <v>0</v>
      </c>
      <c r="AT270" s="22">
        <v>0</v>
      </c>
      <c r="AU270" s="19">
        <f t="shared" si="12"/>
        <v>0</v>
      </c>
      <c r="AV270" s="22">
        <v>4800</v>
      </c>
      <c r="AW270" s="24"/>
      <c r="AX270" s="34"/>
      <c r="AY270" s="15"/>
      <c r="AZ270" s="26"/>
      <c r="BA270" s="27">
        <f t="shared" si="8"/>
        <v>0</v>
      </c>
      <c r="BB270" s="14"/>
      <c r="BC270" s="28"/>
    </row>
    <row r="271" spans="1:55" ht="28.8" x14ac:dyDescent="0.4">
      <c r="A271" s="15">
        <v>270</v>
      </c>
      <c r="B271" s="16">
        <v>80711</v>
      </c>
      <c r="C271" s="17" t="s">
        <v>453</v>
      </c>
      <c r="D271" s="16" t="s">
        <v>139</v>
      </c>
      <c r="E271" s="16" t="s">
        <v>468</v>
      </c>
      <c r="F271" s="16">
        <v>30</v>
      </c>
      <c r="G271" s="16">
        <v>30</v>
      </c>
      <c r="H271" s="18">
        <f t="shared" si="7"/>
        <v>0</v>
      </c>
      <c r="I271" s="19">
        <f t="shared" si="9"/>
        <v>0</v>
      </c>
      <c r="J271" s="16">
        <v>0</v>
      </c>
      <c r="K271" s="20">
        <v>0</v>
      </c>
      <c r="L271" s="21"/>
      <c r="M271" s="21"/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22">
        <v>16000</v>
      </c>
      <c r="T271" s="19">
        <f t="shared" si="10"/>
        <v>0</v>
      </c>
      <c r="U271" s="19">
        <f t="shared" si="11"/>
        <v>16000</v>
      </c>
      <c r="V271" s="22">
        <v>16000</v>
      </c>
      <c r="W271" s="31">
        <v>0</v>
      </c>
      <c r="X271" s="22">
        <v>0</v>
      </c>
      <c r="Y271" s="22">
        <v>0</v>
      </c>
      <c r="Z271" s="22">
        <v>0</v>
      </c>
      <c r="AA271" s="22">
        <v>0</v>
      </c>
      <c r="AB271" s="22">
        <v>0</v>
      </c>
      <c r="AC271" s="22">
        <v>0</v>
      </c>
      <c r="AD271" s="22">
        <v>0</v>
      </c>
      <c r="AE271" s="22">
        <v>0</v>
      </c>
      <c r="AF271" s="22">
        <v>2000</v>
      </c>
      <c r="AG271" s="22">
        <v>0</v>
      </c>
      <c r="AH271" s="22">
        <v>0</v>
      </c>
      <c r="AI271" s="22">
        <v>0</v>
      </c>
      <c r="AJ271" s="22">
        <v>0</v>
      </c>
      <c r="AK271" s="22">
        <v>0</v>
      </c>
      <c r="AL271" s="22">
        <v>0</v>
      </c>
      <c r="AM271" s="22">
        <v>0</v>
      </c>
      <c r="AN271" s="22">
        <v>0</v>
      </c>
      <c r="AO271" s="22">
        <v>0</v>
      </c>
      <c r="AP271" s="22">
        <v>0</v>
      </c>
      <c r="AQ271" s="22">
        <v>0</v>
      </c>
      <c r="AR271" s="22">
        <v>0</v>
      </c>
      <c r="AS271" s="22">
        <v>0</v>
      </c>
      <c r="AT271" s="22">
        <v>0</v>
      </c>
      <c r="AU271" s="19">
        <f t="shared" si="12"/>
        <v>2000</v>
      </c>
      <c r="AV271" s="22">
        <v>14000</v>
      </c>
      <c r="AW271" s="24" t="s">
        <v>54</v>
      </c>
      <c r="AX271" s="25">
        <v>45790</v>
      </c>
      <c r="AY271" s="15"/>
      <c r="AZ271" s="26"/>
      <c r="BA271" s="27">
        <f t="shared" si="8"/>
        <v>1.8189894035458565E-12</v>
      </c>
      <c r="BB271" s="14"/>
      <c r="BC271" s="28"/>
    </row>
    <row r="272" spans="1:55" ht="28.8" x14ac:dyDescent="0.4">
      <c r="A272" s="15">
        <v>271</v>
      </c>
      <c r="B272" s="16">
        <v>80744</v>
      </c>
      <c r="C272" s="17" t="s">
        <v>453</v>
      </c>
      <c r="D272" s="16" t="s">
        <v>139</v>
      </c>
      <c r="E272" s="16" t="s">
        <v>134</v>
      </c>
      <c r="F272" s="16">
        <v>30</v>
      </c>
      <c r="G272" s="16">
        <v>30</v>
      </c>
      <c r="H272" s="18">
        <f t="shared" si="7"/>
        <v>0</v>
      </c>
      <c r="I272" s="19">
        <f t="shared" si="9"/>
        <v>0</v>
      </c>
      <c r="J272" s="16">
        <v>1</v>
      </c>
      <c r="K272" s="20">
        <v>0</v>
      </c>
      <c r="L272" s="21"/>
      <c r="M272" s="21"/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22">
        <v>16000</v>
      </c>
      <c r="T272" s="19">
        <f t="shared" si="10"/>
        <v>0</v>
      </c>
      <c r="U272" s="19">
        <f t="shared" si="11"/>
        <v>16000</v>
      </c>
      <c r="V272" s="22">
        <v>15467</v>
      </c>
      <c r="W272" s="31">
        <v>533</v>
      </c>
      <c r="X272" s="22">
        <v>0</v>
      </c>
      <c r="Y272" s="22">
        <v>0</v>
      </c>
      <c r="Z272" s="22">
        <v>0</v>
      </c>
      <c r="AA272" s="22">
        <v>0</v>
      </c>
      <c r="AB272" s="22">
        <v>0</v>
      </c>
      <c r="AC272" s="22">
        <v>0</v>
      </c>
      <c r="AD272" s="22">
        <v>0</v>
      </c>
      <c r="AE272" s="22">
        <v>0</v>
      </c>
      <c r="AF272" s="22">
        <v>2000</v>
      </c>
      <c r="AG272" s="22">
        <v>0</v>
      </c>
      <c r="AH272" s="22">
        <v>0</v>
      </c>
      <c r="AI272" s="22">
        <v>0</v>
      </c>
      <c r="AJ272" s="22">
        <v>0</v>
      </c>
      <c r="AK272" s="22">
        <v>0</v>
      </c>
      <c r="AL272" s="22">
        <v>0</v>
      </c>
      <c r="AM272" s="22">
        <v>0</v>
      </c>
      <c r="AN272" s="22">
        <v>0</v>
      </c>
      <c r="AO272" s="22">
        <v>0</v>
      </c>
      <c r="AP272" s="22">
        <v>0</v>
      </c>
      <c r="AQ272" s="22">
        <v>0</v>
      </c>
      <c r="AR272" s="22">
        <v>0</v>
      </c>
      <c r="AS272" s="22">
        <v>0</v>
      </c>
      <c r="AT272" s="22">
        <v>0</v>
      </c>
      <c r="AU272" s="19">
        <f t="shared" si="12"/>
        <v>2000</v>
      </c>
      <c r="AV272" s="22">
        <v>14000</v>
      </c>
      <c r="AW272" s="24" t="s">
        <v>54</v>
      </c>
      <c r="AX272" s="25">
        <v>45789</v>
      </c>
      <c r="AY272" s="15"/>
      <c r="AZ272" s="26"/>
      <c r="BA272" s="27">
        <f t="shared" si="8"/>
        <v>1.8189894035458565E-12</v>
      </c>
      <c r="BB272" s="14"/>
      <c r="BC272" s="28"/>
    </row>
    <row r="273" spans="1:55" ht="42.6" x14ac:dyDescent="0.4">
      <c r="A273" s="15">
        <v>272</v>
      </c>
      <c r="B273" s="16">
        <v>80796</v>
      </c>
      <c r="C273" s="17" t="s">
        <v>453</v>
      </c>
      <c r="D273" s="16" t="s">
        <v>139</v>
      </c>
      <c r="E273" s="16" t="s">
        <v>469</v>
      </c>
      <c r="F273" s="16">
        <v>30</v>
      </c>
      <c r="G273" s="16">
        <v>14</v>
      </c>
      <c r="H273" s="18">
        <f t="shared" si="7"/>
        <v>16</v>
      </c>
      <c r="I273" s="19">
        <f t="shared" si="9"/>
        <v>8533.3333333333339</v>
      </c>
      <c r="J273" s="16">
        <v>0</v>
      </c>
      <c r="K273" s="20">
        <v>0</v>
      </c>
      <c r="L273" s="21"/>
      <c r="M273" s="21"/>
      <c r="N273" s="16">
        <v>0</v>
      </c>
      <c r="O273" s="16">
        <v>0</v>
      </c>
      <c r="P273" s="16">
        <v>0</v>
      </c>
      <c r="Q273" s="16">
        <v>0</v>
      </c>
      <c r="R273" s="16">
        <v>16</v>
      </c>
      <c r="S273" s="22">
        <v>16000</v>
      </c>
      <c r="T273" s="19">
        <f t="shared" si="10"/>
        <v>0</v>
      </c>
      <c r="U273" s="19">
        <f t="shared" si="11"/>
        <v>7467</v>
      </c>
      <c r="V273" s="22">
        <v>7467</v>
      </c>
      <c r="W273" s="31">
        <v>0</v>
      </c>
      <c r="X273" s="22">
        <v>0</v>
      </c>
      <c r="Y273" s="22">
        <v>0</v>
      </c>
      <c r="Z273" s="22">
        <v>0</v>
      </c>
      <c r="AA273" s="22">
        <v>0</v>
      </c>
      <c r="AB273" s="22">
        <v>0</v>
      </c>
      <c r="AC273" s="22">
        <v>0</v>
      </c>
      <c r="AD273" s="22">
        <v>0</v>
      </c>
      <c r="AE273" s="22">
        <v>0</v>
      </c>
      <c r="AF273" s="22">
        <v>0</v>
      </c>
      <c r="AG273" s="22">
        <v>0</v>
      </c>
      <c r="AH273" s="22">
        <v>0</v>
      </c>
      <c r="AI273" s="22">
        <v>0</v>
      </c>
      <c r="AJ273" s="22">
        <v>0</v>
      </c>
      <c r="AK273" s="22">
        <v>0</v>
      </c>
      <c r="AL273" s="22">
        <v>0</v>
      </c>
      <c r="AM273" s="22">
        <v>0</v>
      </c>
      <c r="AN273" s="22">
        <v>0</v>
      </c>
      <c r="AO273" s="22">
        <v>0</v>
      </c>
      <c r="AP273" s="22">
        <v>0</v>
      </c>
      <c r="AQ273" s="22">
        <v>0</v>
      </c>
      <c r="AR273" s="22">
        <v>0</v>
      </c>
      <c r="AS273" s="22">
        <v>0</v>
      </c>
      <c r="AT273" s="22">
        <v>0</v>
      </c>
      <c r="AU273" s="19">
        <f t="shared" si="12"/>
        <v>0</v>
      </c>
      <c r="AV273" s="22">
        <v>7466.67</v>
      </c>
      <c r="AW273" s="24" t="s">
        <v>54</v>
      </c>
      <c r="AX273" s="25">
        <v>45789</v>
      </c>
      <c r="AY273" s="15"/>
      <c r="AZ273" s="26"/>
      <c r="BA273" s="27">
        <f t="shared" si="8"/>
        <v>-3.333333333102928E-3</v>
      </c>
      <c r="BB273" s="14"/>
      <c r="BC273" s="28"/>
    </row>
    <row r="274" spans="1:55" ht="21" x14ac:dyDescent="0.4">
      <c r="A274" s="15">
        <v>273</v>
      </c>
      <c r="B274" s="16">
        <v>80801</v>
      </c>
      <c r="C274" s="17" t="s">
        <v>453</v>
      </c>
      <c r="D274" s="16" t="s">
        <v>470</v>
      </c>
      <c r="E274" s="16" t="s">
        <v>471</v>
      </c>
      <c r="F274" s="16">
        <v>30</v>
      </c>
      <c r="G274" s="16">
        <v>4</v>
      </c>
      <c r="H274" s="18">
        <f t="shared" si="7"/>
        <v>26</v>
      </c>
      <c r="I274" s="19">
        <f t="shared" si="9"/>
        <v>13866.666666666668</v>
      </c>
      <c r="J274" s="16">
        <v>0</v>
      </c>
      <c r="K274" s="20">
        <v>0</v>
      </c>
      <c r="L274" s="21"/>
      <c r="M274" s="21"/>
      <c r="N274" s="16">
        <v>0</v>
      </c>
      <c r="O274" s="16">
        <v>0</v>
      </c>
      <c r="P274" s="16">
        <v>0</v>
      </c>
      <c r="Q274" s="16">
        <v>0</v>
      </c>
      <c r="R274" s="16">
        <v>26</v>
      </c>
      <c r="S274" s="22">
        <v>16000</v>
      </c>
      <c r="T274" s="19">
        <f t="shared" si="10"/>
        <v>0</v>
      </c>
      <c r="U274" s="19">
        <f t="shared" si="11"/>
        <v>2133</v>
      </c>
      <c r="V274" s="22">
        <v>2133</v>
      </c>
      <c r="W274" s="31">
        <v>0</v>
      </c>
      <c r="X274" s="22">
        <v>0</v>
      </c>
      <c r="Y274" s="22">
        <v>0</v>
      </c>
      <c r="Z274" s="22">
        <v>0</v>
      </c>
      <c r="AA274" s="22">
        <v>0</v>
      </c>
      <c r="AB274" s="22">
        <v>0</v>
      </c>
      <c r="AC274" s="22">
        <v>0</v>
      </c>
      <c r="AD274" s="22">
        <v>0</v>
      </c>
      <c r="AE274" s="22">
        <v>0</v>
      </c>
      <c r="AF274" s="22">
        <v>0</v>
      </c>
      <c r="AG274" s="22">
        <v>0</v>
      </c>
      <c r="AH274" s="22">
        <v>0</v>
      </c>
      <c r="AI274" s="22">
        <v>0</v>
      </c>
      <c r="AJ274" s="22">
        <v>0</v>
      </c>
      <c r="AK274" s="22">
        <v>0</v>
      </c>
      <c r="AL274" s="22">
        <v>0</v>
      </c>
      <c r="AM274" s="22">
        <v>0</v>
      </c>
      <c r="AN274" s="22">
        <v>0</v>
      </c>
      <c r="AO274" s="22">
        <v>0</v>
      </c>
      <c r="AP274" s="22">
        <v>0</v>
      </c>
      <c r="AQ274" s="22">
        <v>0</v>
      </c>
      <c r="AR274" s="22">
        <v>0</v>
      </c>
      <c r="AS274" s="22">
        <v>0</v>
      </c>
      <c r="AT274" s="22">
        <v>0</v>
      </c>
      <c r="AU274" s="19">
        <f t="shared" si="12"/>
        <v>0</v>
      </c>
      <c r="AV274" s="22">
        <v>2133.33</v>
      </c>
      <c r="AW274" s="24"/>
      <c r="AX274" s="34"/>
      <c r="AY274" s="15"/>
      <c r="AZ274" s="26"/>
      <c r="BA274" s="27">
        <f t="shared" si="8"/>
        <v>3.3333333335576754E-3</v>
      </c>
      <c r="BB274" s="14"/>
      <c r="BC274" s="28"/>
    </row>
    <row r="275" spans="1:55" ht="42.6" x14ac:dyDescent="0.4">
      <c r="A275" s="15">
        <v>274</v>
      </c>
      <c r="B275" s="16">
        <v>22197</v>
      </c>
      <c r="C275" s="17" t="s">
        <v>472</v>
      </c>
      <c r="D275" s="16" t="s">
        <v>473</v>
      </c>
      <c r="E275" s="16" t="s">
        <v>474</v>
      </c>
      <c r="F275" s="16">
        <v>30</v>
      </c>
      <c r="G275" s="16">
        <v>30</v>
      </c>
      <c r="H275" s="18">
        <f t="shared" si="7"/>
        <v>0</v>
      </c>
      <c r="I275" s="19">
        <f t="shared" si="9"/>
        <v>0</v>
      </c>
      <c r="J275" s="16">
        <v>0</v>
      </c>
      <c r="K275" s="20">
        <v>0</v>
      </c>
      <c r="L275" s="21"/>
      <c r="M275" s="21"/>
      <c r="N275" s="16">
        <v>0</v>
      </c>
      <c r="O275" s="16">
        <v>0</v>
      </c>
      <c r="P275" s="16">
        <v>0</v>
      </c>
      <c r="Q275" s="16">
        <v>0</v>
      </c>
      <c r="R275" s="16">
        <v>0</v>
      </c>
      <c r="S275" s="22">
        <v>24000</v>
      </c>
      <c r="T275" s="19">
        <f t="shared" si="10"/>
        <v>0</v>
      </c>
      <c r="U275" s="19">
        <f t="shared" si="11"/>
        <v>24000</v>
      </c>
      <c r="V275" s="22">
        <v>24000</v>
      </c>
      <c r="W275" s="31">
        <v>0</v>
      </c>
      <c r="X275" s="22">
        <v>0</v>
      </c>
      <c r="Y275" s="22">
        <v>0</v>
      </c>
      <c r="Z275" s="22">
        <v>0</v>
      </c>
      <c r="AA275" s="22">
        <v>0</v>
      </c>
      <c r="AB275" s="22">
        <v>0</v>
      </c>
      <c r="AC275" s="22">
        <v>0</v>
      </c>
      <c r="AD275" s="22">
        <v>0</v>
      </c>
      <c r="AE275" s="22">
        <v>0</v>
      </c>
      <c r="AF275" s="22">
        <v>2000</v>
      </c>
      <c r="AG275" s="22">
        <v>0</v>
      </c>
      <c r="AH275" s="22">
        <v>0</v>
      </c>
      <c r="AI275" s="22">
        <v>0</v>
      </c>
      <c r="AJ275" s="22">
        <v>0</v>
      </c>
      <c r="AK275" s="22">
        <v>0</v>
      </c>
      <c r="AL275" s="22">
        <v>0</v>
      </c>
      <c r="AM275" s="22">
        <v>0</v>
      </c>
      <c r="AN275" s="22">
        <v>0</v>
      </c>
      <c r="AO275" s="22">
        <v>0</v>
      </c>
      <c r="AP275" s="22">
        <v>0</v>
      </c>
      <c r="AQ275" s="22">
        <v>0</v>
      </c>
      <c r="AR275" s="22">
        <v>0</v>
      </c>
      <c r="AS275" s="22">
        <v>0</v>
      </c>
      <c r="AT275" s="22">
        <v>0</v>
      </c>
      <c r="AU275" s="19">
        <f t="shared" si="12"/>
        <v>2000</v>
      </c>
      <c r="AV275" s="22">
        <v>22000</v>
      </c>
      <c r="AW275" s="24" t="s">
        <v>54</v>
      </c>
      <c r="AX275" s="34"/>
      <c r="AY275" s="15"/>
      <c r="AZ275" s="26"/>
      <c r="BA275" s="27">
        <f t="shared" si="8"/>
        <v>0</v>
      </c>
      <c r="BB275" s="14"/>
      <c r="BC275" s="28"/>
    </row>
    <row r="276" spans="1:55" ht="28.8" x14ac:dyDescent="0.4">
      <c r="A276" s="15">
        <v>275</v>
      </c>
      <c r="B276" s="16">
        <v>21023</v>
      </c>
      <c r="C276" s="17" t="s">
        <v>472</v>
      </c>
      <c r="D276" s="16" t="s">
        <v>190</v>
      </c>
      <c r="E276" s="16" t="s">
        <v>475</v>
      </c>
      <c r="F276" s="16">
        <v>30</v>
      </c>
      <c r="G276" s="16">
        <v>6</v>
      </c>
      <c r="H276" s="18">
        <f t="shared" si="7"/>
        <v>24</v>
      </c>
      <c r="I276" s="19">
        <f t="shared" si="9"/>
        <v>20000</v>
      </c>
      <c r="J276" s="16">
        <v>0</v>
      </c>
      <c r="K276" s="20">
        <v>0</v>
      </c>
      <c r="L276" s="21"/>
      <c r="M276" s="21"/>
      <c r="N276" s="16">
        <v>0</v>
      </c>
      <c r="O276" s="16">
        <v>0</v>
      </c>
      <c r="P276" s="16">
        <v>0</v>
      </c>
      <c r="Q276" s="16">
        <v>0</v>
      </c>
      <c r="R276" s="16">
        <v>24</v>
      </c>
      <c r="S276" s="22">
        <v>25000</v>
      </c>
      <c r="T276" s="19">
        <f t="shared" si="10"/>
        <v>0</v>
      </c>
      <c r="U276" s="19">
        <f t="shared" si="11"/>
        <v>5000</v>
      </c>
      <c r="V276" s="22">
        <v>5000</v>
      </c>
      <c r="W276" s="31">
        <v>0</v>
      </c>
      <c r="X276" s="22">
        <v>0</v>
      </c>
      <c r="Y276" s="22">
        <v>0</v>
      </c>
      <c r="Z276" s="22">
        <v>0</v>
      </c>
      <c r="AA276" s="22">
        <v>0</v>
      </c>
      <c r="AB276" s="22">
        <v>0</v>
      </c>
      <c r="AC276" s="22">
        <v>575</v>
      </c>
      <c r="AD276" s="22">
        <v>0</v>
      </c>
      <c r="AE276" s="22">
        <v>0</v>
      </c>
      <c r="AF276" s="22">
        <v>0</v>
      </c>
      <c r="AG276" s="22">
        <v>0</v>
      </c>
      <c r="AH276" s="22">
        <v>0</v>
      </c>
      <c r="AI276" s="22">
        <v>0</v>
      </c>
      <c r="AJ276" s="22">
        <v>0</v>
      </c>
      <c r="AK276" s="22">
        <v>0</v>
      </c>
      <c r="AL276" s="22">
        <v>0</v>
      </c>
      <c r="AM276" s="22">
        <v>0</v>
      </c>
      <c r="AN276" s="22">
        <v>0</v>
      </c>
      <c r="AO276" s="22">
        <v>0</v>
      </c>
      <c r="AP276" s="22">
        <v>0</v>
      </c>
      <c r="AQ276" s="22">
        <v>0</v>
      </c>
      <c r="AR276" s="22">
        <v>0</v>
      </c>
      <c r="AS276" s="22">
        <v>0</v>
      </c>
      <c r="AT276" s="22">
        <v>0</v>
      </c>
      <c r="AU276" s="19">
        <f t="shared" si="12"/>
        <v>575</v>
      </c>
      <c r="AV276" s="22">
        <v>4425</v>
      </c>
      <c r="AW276" s="24"/>
      <c r="AX276" s="34"/>
      <c r="AY276" s="15"/>
      <c r="AZ276" s="26"/>
      <c r="BA276" s="27">
        <f t="shared" si="8"/>
        <v>0</v>
      </c>
      <c r="BB276" s="14"/>
      <c r="BC276" s="28"/>
    </row>
    <row r="277" spans="1:55" ht="21" x14ac:dyDescent="0.4">
      <c r="A277" s="15">
        <v>276</v>
      </c>
      <c r="B277" s="16">
        <v>80692</v>
      </c>
      <c r="C277" s="17" t="s">
        <v>472</v>
      </c>
      <c r="D277" s="16" t="s">
        <v>476</v>
      </c>
      <c r="E277" s="16" t="s">
        <v>477</v>
      </c>
      <c r="F277" s="16">
        <v>30</v>
      </c>
      <c r="G277" s="16">
        <v>29</v>
      </c>
      <c r="H277" s="18">
        <f t="shared" si="7"/>
        <v>1</v>
      </c>
      <c r="I277" s="19">
        <f t="shared" si="9"/>
        <v>1166.6666666666667</v>
      </c>
      <c r="J277" s="16">
        <v>14</v>
      </c>
      <c r="K277" s="20">
        <v>7</v>
      </c>
      <c r="L277" s="21"/>
      <c r="M277" s="21"/>
      <c r="N277" s="16">
        <v>0</v>
      </c>
      <c r="O277" s="16">
        <v>0</v>
      </c>
      <c r="P277" s="16">
        <v>0</v>
      </c>
      <c r="Q277" s="16">
        <v>0</v>
      </c>
      <c r="R277" s="16">
        <v>1</v>
      </c>
      <c r="S277" s="22">
        <v>35000</v>
      </c>
      <c r="T277" s="19">
        <f t="shared" si="10"/>
        <v>8166.666666666667</v>
      </c>
      <c r="U277" s="19">
        <f t="shared" si="11"/>
        <v>25667</v>
      </c>
      <c r="V277" s="22">
        <v>17500</v>
      </c>
      <c r="W277" s="31">
        <v>8167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0</v>
      </c>
      <c r="AE277" s="22">
        <v>0</v>
      </c>
      <c r="AF277" s="22">
        <v>5000</v>
      </c>
      <c r="AG277" s="22">
        <v>0</v>
      </c>
      <c r="AH277" s="22">
        <v>0</v>
      </c>
      <c r="AI277" s="22">
        <v>0</v>
      </c>
      <c r="AJ277" s="22">
        <v>0</v>
      </c>
      <c r="AK277" s="22">
        <v>0</v>
      </c>
      <c r="AL277" s="22">
        <v>0</v>
      </c>
      <c r="AM277" s="22">
        <v>0</v>
      </c>
      <c r="AN277" s="22">
        <v>0</v>
      </c>
      <c r="AO277" s="22">
        <v>0</v>
      </c>
      <c r="AP277" s="22">
        <v>0</v>
      </c>
      <c r="AQ277" s="22">
        <v>0</v>
      </c>
      <c r="AR277" s="22">
        <v>0</v>
      </c>
      <c r="AS277" s="22">
        <v>0</v>
      </c>
      <c r="AT277" s="22">
        <v>0</v>
      </c>
      <c r="AU277" s="19">
        <f t="shared" si="12"/>
        <v>5000</v>
      </c>
      <c r="AV277" s="22">
        <v>20666.669999999998</v>
      </c>
      <c r="AW277" s="24" t="s">
        <v>54</v>
      </c>
      <c r="AX277" s="25">
        <v>45789</v>
      </c>
      <c r="AY277" s="15"/>
      <c r="AZ277" s="26"/>
      <c r="BA277" s="27">
        <f t="shared" si="8"/>
        <v>-3.3333333303744439E-3</v>
      </c>
      <c r="BB277" s="14"/>
      <c r="BC277" s="28"/>
    </row>
    <row r="278" spans="1:55" ht="21" x14ac:dyDescent="0.4">
      <c r="A278" s="15">
        <v>277</v>
      </c>
      <c r="B278" s="16">
        <v>80739</v>
      </c>
      <c r="C278" s="17" t="s">
        <v>472</v>
      </c>
      <c r="D278" s="16" t="s">
        <v>190</v>
      </c>
      <c r="E278" s="16" t="s">
        <v>478</v>
      </c>
      <c r="F278" s="16">
        <v>30</v>
      </c>
      <c r="G278" s="16">
        <v>20</v>
      </c>
      <c r="H278" s="18">
        <f t="shared" si="7"/>
        <v>10</v>
      </c>
      <c r="I278" s="19">
        <f t="shared" si="9"/>
        <v>8333.3333333333339</v>
      </c>
      <c r="J278" s="16">
        <v>1</v>
      </c>
      <c r="K278" s="20">
        <v>0</v>
      </c>
      <c r="L278" s="21"/>
      <c r="M278" s="21"/>
      <c r="N278" s="16">
        <v>0</v>
      </c>
      <c r="O278" s="16">
        <v>0</v>
      </c>
      <c r="P278" s="16">
        <v>0</v>
      </c>
      <c r="Q278" s="16">
        <v>0</v>
      </c>
      <c r="R278" s="16">
        <v>10</v>
      </c>
      <c r="S278" s="22">
        <v>25000</v>
      </c>
      <c r="T278" s="19">
        <f t="shared" si="10"/>
        <v>0</v>
      </c>
      <c r="U278" s="19">
        <f t="shared" si="11"/>
        <v>16666</v>
      </c>
      <c r="V278" s="22">
        <v>15833</v>
      </c>
      <c r="W278" s="31">
        <v>833</v>
      </c>
      <c r="X278" s="22">
        <v>0</v>
      </c>
      <c r="Y278" s="22">
        <v>0</v>
      </c>
      <c r="Z278" s="22">
        <v>0</v>
      </c>
      <c r="AA278" s="22">
        <v>0</v>
      </c>
      <c r="AB278" s="22">
        <v>0</v>
      </c>
      <c r="AC278" s="22">
        <v>0</v>
      </c>
      <c r="AD278" s="22">
        <v>0</v>
      </c>
      <c r="AE278" s="22">
        <v>0</v>
      </c>
      <c r="AF278" s="22">
        <v>0</v>
      </c>
      <c r="AG278" s="22">
        <v>0</v>
      </c>
      <c r="AH278" s="22">
        <v>0</v>
      </c>
      <c r="AI278" s="22">
        <v>0</v>
      </c>
      <c r="AJ278" s="22">
        <v>0</v>
      </c>
      <c r="AK278" s="22">
        <v>0</v>
      </c>
      <c r="AL278" s="22">
        <v>0</v>
      </c>
      <c r="AM278" s="22">
        <v>0</v>
      </c>
      <c r="AN278" s="22">
        <v>0</v>
      </c>
      <c r="AO278" s="22">
        <v>0</v>
      </c>
      <c r="AP278" s="22">
        <v>0</v>
      </c>
      <c r="AQ278" s="22">
        <v>0</v>
      </c>
      <c r="AR278" s="22">
        <v>0</v>
      </c>
      <c r="AS278" s="22">
        <v>0</v>
      </c>
      <c r="AT278" s="22">
        <v>0</v>
      </c>
      <c r="AU278" s="19">
        <f t="shared" si="12"/>
        <v>0</v>
      </c>
      <c r="AV278" s="22">
        <v>16666.669999999998</v>
      </c>
      <c r="AW278" s="24"/>
      <c r="AX278" s="34"/>
      <c r="AY278" s="15"/>
      <c r="AZ278" s="26"/>
      <c r="BA278" s="27">
        <f t="shared" si="8"/>
        <v>-3.3333333303744439E-3</v>
      </c>
      <c r="BB278" s="14"/>
      <c r="BC278" s="28"/>
    </row>
    <row r="279" spans="1:55" ht="42.6" x14ac:dyDescent="0.4">
      <c r="A279" s="15">
        <v>278</v>
      </c>
      <c r="B279" s="16">
        <v>80757</v>
      </c>
      <c r="C279" s="17" t="s">
        <v>472</v>
      </c>
      <c r="D279" s="16" t="s">
        <v>479</v>
      </c>
      <c r="E279" s="16" t="s">
        <v>480</v>
      </c>
      <c r="F279" s="16">
        <v>30</v>
      </c>
      <c r="G279" s="16">
        <v>18</v>
      </c>
      <c r="H279" s="18">
        <f t="shared" si="7"/>
        <v>12</v>
      </c>
      <c r="I279" s="19">
        <f t="shared" si="9"/>
        <v>8800</v>
      </c>
      <c r="J279" s="16">
        <v>2</v>
      </c>
      <c r="K279" s="33">
        <v>1</v>
      </c>
      <c r="L279" s="21"/>
      <c r="M279" s="21"/>
      <c r="N279" s="16">
        <v>0</v>
      </c>
      <c r="O279" s="16">
        <v>0</v>
      </c>
      <c r="P279" s="16">
        <v>0</v>
      </c>
      <c r="Q279" s="16">
        <v>0</v>
      </c>
      <c r="R279" s="16">
        <v>12</v>
      </c>
      <c r="S279" s="22">
        <v>22000</v>
      </c>
      <c r="T279" s="19">
        <f t="shared" si="10"/>
        <v>733.33333333333337</v>
      </c>
      <c r="U279" s="19">
        <f t="shared" si="11"/>
        <v>13199</v>
      </c>
      <c r="V279" s="22">
        <v>11733</v>
      </c>
      <c r="W279" s="31">
        <f>733+733</f>
        <v>1466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0</v>
      </c>
      <c r="AE279" s="22">
        <v>0</v>
      </c>
      <c r="AF279" s="22">
        <v>0</v>
      </c>
      <c r="AG279" s="22">
        <v>0</v>
      </c>
      <c r="AH279" s="22">
        <v>0</v>
      </c>
      <c r="AI279" s="22">
        <v>0</v>
      </c>
      <c r="AJ279" s="22">
        <v>0</v>
      </c>
      <c r="AK279" s="22">
        <v>0</v>
      </c>
      <c r="AL279" s="22">
        <v>0</v>
      </c>
      <c r="AM279" s="22">
        <v>0</v>
      </c>
      <c r="AN279" s="22">
        <v>0</v>
      </c>
      <c r="AO279" s="22">
        <v>0</v>
      </c>
      <c r="AP279" s="22">
        <v>0</v>
      </c>
      <c r="AQ279" s="22">
        <v>0</v>
      </c>
      <c r="AR279" s="22">
        <v>0</v>
      </c>
      <c r="AS279" s="22">
        <v>0</v>
      </c>
      <c r="AT279" s="22">
        <v>0</v>
      </c>
      <c r="AU279" s="19">
        <f t="shared" si="12"/>
        <v>0</v>
      </c>
      <c r="AV279" s="22">
        <f>12466.67+733</f>
        <v>13199.67</v>
      </c>
      <c r="AW279" s="29" t="s">
        <v>54</v>
      </c>
      <c r="AX279" s="25">
        <v>45790</v>
      </c>
      <c r="AY279" s="15"/>
      <c r="AZ279" s="26"/>
      <c r="BA279" s="27">
        <f t="shared" si="8"/>
        <v>-733.00333333333401</v>
      </c>
      <c r="BB279" s="14"/>
      <c r="BC279" s="28"/>
    </row>
    <row r="280" spans="1:55" ht="21" x14ac:dyDescent="0.4">
      <c r="A280" s="15">
        <v>279</v>
      </c>
      <c r="B280" s="36">
        <v>28061</v>
      </c>
      <c r="C280" s="37" t="s">
        <v>481</v>
      </c>
      <c r="D280" s="36" t="s">
        <v>482</v>
      </c>
      <c r="E280" s="36" t="s">
        <v>483</v>
      </c>
      <c r="F280" s="16">
        <v>30</v>
      </c>
      <c r="G280" s="16">
        <v>30</v>
      </c>
      <c r="H280" s="18">
        <f t="shared" si="7"/>
        <v>0</v>
      </c>
      <c r="I280" s="19">
        <f t="shared" si="9"/>
        <v>0</v>
      </c>
      <c r="J280" s="16">
        <v>0</v>
      </c>
      <c r="K280" s="20">
        <v>0</v>
      </c>
      <c r="L280" s="21"/>
      <c r="M280" s="21"/>
      <c r="N280" s="16">
        <v>0</v>
      </c>
      <c r="O280" s="16">
        <v>0</v>
      </c>
      <c r="P280" s="16">
        <v>0</v>
      </c>
      <c r="Q280" s="16">
        <v>0</v>
      </c>
      <c r="R280" s="16">
        <v>0</v>
      </c>
      <c r="S280" s="22">
        <v>18000</v>
      </c>
      <c r="T280" s="19">
        <f t="shared" si="10"/>
        <v>0</v>
      </c>
      <c r="U280" s="19">
        <f t="shared" si="11"/>
        <v>18000</v>
      </c>
      <c r="V280" s="22">
        <v>18000</v>
      </c>
      <c r="W280" s="31">
        <v>0</v>
      </c>
      <c r="X280" s="22">
        <v>0</v>
      </c>
      <c r="Y280" s="22">
        <v>0</v>
      </c>
      <c r="Z280" s="22">
        <v>0</v>
      </c>
      <c r="AA280" s="22">
        <v>0</v>
      </c>
      <c r="AB280" s="22">
        <v>0</v>
      </c>
      <c r="AC280" s="22">
        <v>0</v>
      </c>
      <c r="AD280" s="22">
        <v>0</v>
      </c>
      <c r="AE280" s="22">
        <v>0</v>
      </c>
      <c r="AF280" s="22">
        <v>2000</v>
      </c>
      <c r="AG280" s="22">
        <v>0</v>
      </c>
      <c r="AH280" s="22">
        <v>0</v>
      </c>
      <c r="AI280" s="22">
        <v>1050</v>
      </c>
      <c r="AJ280" s="22">
        <v>0</v>
      </c>
      <c r="AK280" s="22">
        <v>0</v>
      </c>
      <c r="AL280" s="22">
        <v>0</v>
      </c>
      <c r="AM280" s="22">
        <v>0</v>
      </c>
      <c r="AN280" s="22">
        <v>0</v>
      </c>
      <c r="AO280" s="22">
        <v>0</v>
      </c>
      <c r="AP280" s="22">
        <v>0</v>
      </c>
      <c r="AQ280" s="22">
        <v>0</v>
      </c>
      <c r="AR280" s="22">
        <v>0</v>
      </c>
      <c r="AS280" s="22">
        <v>0</v>
      </c>
      <c r="AT280" s="22">
        <v>0</v>
      </c>
      <c r="AU280" s="19">
        <f t="shared" si="12"/>
        <v>3050</v>
      </c>
      <c r="AV280" s="22">
        <f>16000-1050</f>
        <v>14950</v>
      </c>
      <c r="AW280" s="24" t="s">
        <v>54</v>
      </c>
      <c r="AX280" s="34"/>
      <c r="AY280" s="15"/>
      <c r="AZ280" s="26"/>
      <c r="BA280" s="27">
        <f t="shared" si="8"/>
        <v>0</v>
      </c>
      <c r="BB280" s="14"/>
      <c r="BC280" s="28"/>
    </row>
    <row r="281" spans="1:55" ht="28.8" x14ac:dyDescent="0.4">
      <c r="A281" s="15">
        <v>280</v>
      </c>
      <c r="B281" s="36">
        <v>27225</v>
      </c>
      <c r="C281" s="37" t="s">
        <v>481</v>
      </c>
      <c r="D281" s="36" t="s">
        <v>484</v>
      </c>
      <c r="E281" s="36" t="s">
        <v>485</v>
      </c>
      <c r="F281" s="16">
        <v>30</v>
      </c>
      <c r="G281" s="16">
        <v>30</v>
      </c>
      <c r="H281" s="18">
        <f t="shared" si="7"/>
        <v>0</v>
      </c>
      <c r="I281" s="19">
        <f t="shared" si="9"/>
        <v>0</v>
      </c>
      <c r="J281" s="16">
        <v>0</v>
      </c>
      <c r="K281" s="20">
        <v>0</v>
      </c>
      <c r="L281" s="21"/>
      <c r="M281" s="21"/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22">
        <v>16000</v>
      </c>
      <c r="T281" s="19">
        <f t="shared" si="10"/>
        <v>0</v>
      </c>
      <c r="U281" s="19">
        <f t="shared" si="11"/>
        <v>16000</v>
      </c>
      <c r="V281" s="22">
        <v>16000</v>
      </c>
      <c r="W281" s="31">
        <v>0</v>
      </c>
      <c r="X281" s="22">
        <v>0</v>
      </c>
      <c r="Y281" s="22">
        <v>0</v>
      </c>
      <c r="Z281" s="22">
        <v>0</v>
      </c>
      <c r="AA281" s="22">
        <v>0</v>
      </c>
      <c r="AB281" s="22">
        <v>0</v>
      </c>
      <c r="AC281" s="22">
        <v>0</v>
      </c>
      <c r="AD281" s="22">
        <v>0</v>
      </c>
      <c r="AE281" s="22">
        <v>0</v>
      </c>
      <c r="AF281" s="22">
        <v>0</v>
      </c>
      <c r="AG281" s="22">
        <v>0</v>
      </c>
      <c r="AH281" s="22">
        <v>1000</v>
      </c>
      <c r="AI281" s="22">
        <v>1050</v>
      </c>
      <c r="AJ281" s="22">
        <v>0</v>
      </c>
      <c r="AK281" s="22">
        <v>0</v>
      </c>
      <c r="AL281" s="22">
        <v>0</v>
      </c>
      <c r="AM281" s="22">
        <v>0</v>
      </c>
      <c r="AN281" s="22">
        <v>0</v>
      </c>
      <c r="AO281" s="22">
        <v>0</v>
      </c>
      <c r="AP281" s="22">
        <v>0</v>
      </c>
      <c r="AQ281" s="22">
        <v>0</v>
      </c>
      <c r="AR281" s="22">
        <v>0</v>
      </c>
      <c r="AS281" s="22">
        <v>0</v>
      </c>
      <c r="AT281" s="22">
        <v>0</v>
      </c>
      <c r="AU281" s="19">
        <f t="shared" si="12"/>
        <v>2050</v>
      </c>
      <c r="AV281" s="22">
        <v>13950</v>
      </c>
      <c r="AW281" s="24" t="s">
        <v>54</v>
      </c>
      <c r="AX281" s="25">
        <v>45789</v>
      </c>
      <c r="AY281" s="15"/>
      <c r="AZ281" s="26"/>
      <c r="BA281" s="27">
        <f t="shared" si="8"/>
        <v>1.8189894035458565E-12</v>
      </c>
      <c r="BB281" s="14"/>
      <c r="BC281" s="28"/>
    </row>
    <row r="282" spans="1:55" ht="28.8" x14ac:dyDescent="0.4">
      <c r="A282" s="15">
        <v>281</v>
      </c>
      <c r="B282" s="36">
        <v>80464</v>
      </c>
      <c r="C282" s="37" t="s">
        <v>481</v>
      </c>
      <c r="D282" s="36" t="s">
        <v>217</v>
      </c>
      <c r="E282" s="36" t="s">
        <v>486</v>
      </c>
      <c r="F282" s="16">
        <v>30</v>
      </c>
      <c r="G282" s="16">
        <v>24</v>
      </c>
      <c r="H282" s="18">
        <f t="shared" si="7"/>
        <v>6</v>
      </c>
      <c r="I282" s="19">
        <f t="shared" si="9"/>
        <v>4400</v>
      </c>
      <c r="J282" s="16">
        <v>5</v>
      </c>
      <c r="K282" s="20">
        <v>2</v>
      </c>
      <c r="L282" s="21"/>
      <c r="M282" s="21"/>
      <c r="N282" s="16">
        <v>0</v>
      </c>
      <c r="O282" s="16">
        <v>0</v>
      </c>
      <c r="P282" s="16">
        <v>0</v>
      </c>
      <c r="Q282" s="16">
        <v>0</v>
      </c>
      <c r="R282" s="16">
        <v>6</v>
      </c>
      <c r="S282" s="22">
        <v>22000</v>
      </c>
      <c r="T282" s="19">
        <f t="shared" si="10"/>
        <v>1466.6666666666667</v>
      </c>
      <c r="U282" s="19">
        <f t="shared" si="11"/>
        <v>16133</v>
      </c>
      <c r="V282" s="22">
        <v>13933</v>
      </c>
      <c r="W282" s="31">
        <v>2200</v>
      </c>
      <c r="X282" s="22">
        <v>0</v>
      </c>
      <c r="Y282" s="22">
        <v>0</v>
      </c>
      <c r="Z282" s="22">
        <v>0</v>
      </c>
      <c r="AA282" s="22">
        <v>0</v>
      </c>
      <c r="AB282" s="22">
        <v>0</v>
      </c>
      <c r="AC282" s="22">
        <v>0</v>
      </c>
      <c r="AD282" s="22">
        <v>0</v>
      </c>
      <c r="AE282" s="22">
        <v>0</v>
      </c>
      <c r="AF282" s="22">
        <v>2000</v>
      </c>
      <c r="AG282" s="22">
        <v>0</v>
      </c>
      <c r="AH282" s="22">
        <v>0</v>
      </c>
      <c r="AI282" s="22">
        <v>840</v>
      </c>
      <c r="AJ282" s="22">
        <v>0</v>
      </c>
      <c r="AK282" s="22">
        <v>0</v>
      </c>
      <c r="AL282" s="22">
        <v>0</v>
      </c>
      <c r="AM282" s="22">
        <v>0</v>
      </c>
      <c r="AN282" s="22">
        <v>0</v>
      </c>
      <c r="AO282" s="22">
        <v>0</v>
      </c>
      <c r="AP282" s="22">
        <v>0</v>
      </c>
      <c r="AQ282" s="22">
        <v>0</v>
      </c>
      <c r="AR282" s="22">
        <v>0</v>
      </c>
      <c r="AS282" s="22">
        <v>0</v>
      </c>
      <c r="AT282" s="22">
        <v>0</v>
      </c>
      <c r="AU282" s="19">
        <f t="shared" si="12"/>
        <v>2840</v>
      </c>
      <c r="AV282" s="22">
        <v>13293.33</v>
      </c>
      <c r="AW282" s="24" t="s">
        <v>54</v>
      </c>
      <c r="AX282" s="25">
        <v>45789</v>
      </c>
      <c r="AY282" s="15">
        <v>4400</v>
      </c>
      <c r="AZ282" s="26"/>
      <c r="BA282" s="27">
        <f t="shared" si="8"/>
        <v>3.3333333340124227E-3</v>
      </c>
      <c r="BB282" s="14"/>
      <c r="BC282" s="28"/>
    </row>
    <row r="283" spans="1:55" ht="21" x14ac:dyDescent="0.4">
      <c r="A283" s="15">
        <v>282</v>
      </c>
      <c r="B283" s="36">
        <v>80608</v>
      </c>
      <c r="C283" s="37" t="s">
        <v>481</v>
      </c>
      <c r="D283" s="36" t="s">
        <v>484</v>
      </c>
      <c r="E283" s="36" t="s">
        <v>487</v>
      </c>
      <c r="F283" s="16">
        <v>30</v>
      </c>
      <c r="G283" s="16">
        <v>30</v>
      </c>
      <c r="H283" s="18">
        <f t="shared" si="7"/>
        <v>0</v>
      </c>
      <c r="I283" s="19">
        <f t="shared" si="9"/>
        <v>0</v>
      </c>
      <c r="J283" s="16">
        <v>0</v>
      </c>
      <c r="K283" s="20">
        <v>0</v>
      </c>
      <c r="L283" s="21"/>
      <c r="M283" s="21"/>
      <c r="N283" s="16">
        <v>0</v>
      </c>
      <c r="O283" s="16">
        <v>0</v>
      </c>
      <c r="P283" s="16">
        <v>0</v>
      </c>
      <c r="Q283" s="16">
        <v>0</v>
      </c>
      <c r="R283" s="16">
        <v>0</v>
      </c>
      <c r="S283" s="22">
        <v>16000</v>
      </c>
      <c r="T283" s="19">
        <f t="shared" si="10"/>
        <v>0</v>
      </c>
      <c r="U283" s="19">
        <f t="shared" si="11"/>
        <v>16000</v>
      </c>
      <c r="V283" s="22">
        <v>16000</v>
      </c>
      <c r="W283" s="31">
        <v>0</v>
      </c>
      <c r="X283" s="22">
        <v>0</v>
      </c>
      <c r="Y283" s="22">
        <v>0</v>
      </c>
      <c r="Z283" s="22">
        <v>0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22">
        <v>0</v>
      </c>
      <c r="AG283" s="22">
        <v>0</v>
      </c>
      <c r="AH283" s="22">
        <v>0</v>
      </c>
      <c r="AI283" s="22">
        <v>1050</v>
      </c>
      <c r="AJ283" s="22">
        <v>0</v>
      </c>
      <c r="AK283" s="22">
        <v>0</v>
      </c>
      <c r="AL283" s="22">
        <v>0</v>
      </c>
      <c r="AM283" s="22">
        <v>0</v>
      </c>
      <c r="AN283" s="22">
        <v>0</v>
      </c>
      <c r="AO283" s="22">
        <v>0</v>
      </c>
      <c r="AP283" s="22">
        <v>0</v>
      </c>
      <c r="AQ283" s="22">
        <v>0</v>
      </c>
      <c r="AR283" s="22">
        <v>0</v>
      </c>
      <c r="AS283" s="22">
        <v>0</v>
      </c>
      <c r="AT283" s="22">
        <v>0</v>
      </c>
      <c r="AU283" s="19">
        <f t="shared" si="12"/>
        <v>1050</v>
      </c>
      <c r="AV283" s="22">
        <v>14950</v>
      </c>
      <c r="AW283" s="24" t="s">
        <v>54</v>
      </c>
      <c r="AX283" s="25">
        <v>45789</v>
      </c>
      <c r="AY283" s="15"/>
      <c r="AZ283" s="26"/>
      <c r="BA283" s="27">
        <f t="shared" si="8"/>
        <v>1.8189894035458565E-12</v>
      </c>
      <c r="BB283" s="14"/>
      <c r="BC283" s="28"/>
    </row>
    <row r="284" spans="1:55" ht="28.8" x14ac:dyDescent="0.4">
      <c r="A284" s="15">
        <v>283</v>
      </c>
      <c r="B284" s="16">
        <v>32060</v>
      </c>
      <c r="C284" s="17" t="s">
        <v>481</v>
      </c>
      <c r="D284" s="16" t="s">
        <v>280</v>
      </c>
      <c r="E284" s="16" t="s">
        <v>488</v>
      </c>
      <c r="F284" s="16">
        <v>30</v>
      </c>
      <c r="G284" s="16">
        <v>30</v>
      </c>
      <c r="H284" s="18">
        <f t="shared" si="7"/>
        <v>0</v>
      </c>
      <c r="I284" s="19">
        <f t="shared" si="9"/>
        <v>0</v>
      </c>
      <c r="J284" s="16">
        <v>0</v>
      </c>
      <c r="K284" s="20">
        <v>0</v>
      </c>
      <c r="L284" s="21"/>
      <c r="M284" s="21"/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22">
        <v>25000</v>
      </c>
      <c r="T284" s="19">
        <f t="shared" si="10"/>
        <v>0</v>
      </c>
      <c r="U284" s="19">
        <f t="shared" si="11"/>
        <v>25000</v>
      </c>
      <c r="V284" s="22">
        <v>25000</v>
      </c>
      <c r="W284" s="31">
        <v>0</v>
      </c>
      <c r="X284" s="22">
        <v>0</v>
      </c>
      <c r="Y284" s="22">
        <v>0</v>
      </c>
      <c r="Z284" s="22">
        <v>0</v>
      </c>
      <c r="AA284" s="22">
        <v>0</v>
      </c>
      <c r="AB284" s="22">
        <v>0</v>
      </c>
      <c r="AC284" s="22">
        <v>0</v>
      </c>
      <c r="AD284" s="22">
        <v>0</v>
      </c>
      <c r="AE284" s="22">
        <v>0</v>
      </c>
      <c r="AF284" s="22">
        <v>3000</v>
      </c>
      <c r="AG284" s="22">
        <v>0</v>
      </c>
      <c r="AH284" s="22">
        <v>0</v>
      </c>
      <c r="AI284" s="22">
        <v>1050</v>
      </c>
      <c r="AJ284" s="22">
        <v>0</v>
      </c>
      <c r="AK284" s="22">
        <v>0</v>
      </c>
      <c r="AL284" s="22">
        <v>0</v>
      </c>
      <c r="AM284" s="22">
        <v>0</v>
      </c>
      <c r="AN284" s="22">
        <v>0</v>
      </c>
      <c r="AO284" s="22">
        <v>0</v>
      </c>
      <c r="AP284" s="22">
        <v>0</v>
      </c>
      <c r="AQ284" s="22">
        <v>0</v>
      </c>
      <c r="AR284" s="22">
        <v>0</v>
      </c>
      <c r="AS284" s="22">
        <v>0</v>
      </c>
      <c r="AT284" s="22">
        <v>0</v>
      </c>
      <c r="AU284" s="19">
        <f t="shared" si="12"/>
        <v>4050</v>
      </c>
      <c r="AV284" s="22">
        <f>22000-1050</f>
        <v>20950</v>
      </c>
      <c r="AW284" s="24" t="s">
        <v>54</v>
      </c>
      <c r="AX284" s="25">
        <v>45790</v>
      </c>
      <c r="AY284" s="15"/>
      <c r="AZ284" s="26"/>
      <c r="BA284" s="27">
        <f t="shared" si="8"/>
        <v>0</v>
      </c>
      <c r="BB284" s="14"/>
      <c r="BC284" s="28"/>
    </row>
    <row r="285" spans="1:55" ht="21" x14ac:dyDescent="0.4">
      <c r="A285" s="15">
        <v>284</v>
      </c>
      <c r="B285" s="16">
        <v>33098</v>
      </c>
      <c r="C285" s="17" t="s">
        <v>481</v>
      </c>
      <c r="D285" s="16" t="s">
        <v>280</v>
      </c>
      <c r="E285" s="16" t="s">
        <v>489</v>
      </c>
      <c r="F285" s="16">
        <v>30</v>
      </c>
      <c r="G285" s="16">
        <v>30</v>
      </c>
      <c r="H285" s="18">
        <f t="shared" si="7"/>
        <v>0</v>
      </c>
      <c r="I285" s="19">
        <f t="shared" si="9"/>
        <v>0</v>
      </c>
      <c r="J285" s="16">
        <v>0</v>
      </c>
      <c r="K285" s="20">
        <v>0</v>
      </c>
      <c r="L285" s="21"/>
      <c r="M285" s="21"/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32">
        <v>25000</v>
      </c>
      <c r="T285" s="19">
        <f t="shared" si="10"/>
        <v>0</v>
      </c>
      <c r="U285" s="19">
        <f t="shared" si="11"/>
        <v>25000</v>
      </c>
      <c r="V285" s="22">
        <v>25000</v>
      </c>
      <c r="W285" s="31">
        <v>0</v>
      </c>
      <c r="X285" s="22">
        <v>0</v>
      </c>
      <c r="Y285" s="22">
        <v>0</v>
      </c>
      <c r="Z285" s="22">
        <v>0</v>
      </c>
      <c r="AA285" s="22">
        <v>0</v>
      </c>
      <c r="AB285" s="22">
        <v>0</v>
      </c>
      <c r="AC285" s="22">
        <v>0</v>
      </c>
      <c r="AD285" s="22">
        <v>0</v>
      </c>
      <c r="AE285" s="22">
        <v>0</v>
      </c>
      <c r="AF285" s="22">
        <v>0</v>
      </c>
      <c r="AG285" s="22">
        <v>0</v>
      </c>
      <c r="AH285" s="22">
        <v>0</v>
      </c>
      <c r="AI285" s="22">
        <v>1050</v>
      </c>
      <c r="AJ285" s="22">
        <v>0</v>
      </c>
      <c r="AK285" s="22">
        <v>0</v>
      </c>
      <c r="AL285" s="22">
        <v>0</v>
      </c>
      <c r="AM285" s="22">
        <v>0</v>
      </c>
      <c r="AN285" s="22">
        <v>0</v>
      </c>
      <c r="AO285" s="22">
        <v>0</v>
      </c>
      <c r="AP285" s="22">
        <v>0</v>
      </c>
      <c r="AQ285" s="22">
        <v>0</v>
      </c>
      <c r="AR285" s="22">
        <v>0</v>
      </c>
      <c r="AS285" s="22">
        <v>0</v>
      </c>
      <c r="AT285" s="22">
        <v>0</v>
      </c>
      <c r="AU285" s="19">
        <f t="shared" si="12"/>
        <v>1050</v>
      </c>
      <c r="AV285" s="22">
        <f>25000-1050</f>
        <v>23950</v>
      </c>
      <c r="AW285" s="24" t="s">
        <v>54</v>
      </c>
      <c r="AX285" s="25">
        <v>45789</v>
      </c>
      <c r="AY285" s="15"/>
      <c r="AZ285" s="26"/>
      <c r="BA285" s="27">
        <f t="shared" si="8"/>
        <v>0</v>
      </c>
      <c r="BB285" s="14"/>
      <c r="BC285" s="28"/>
    </row>
    <row r="286" spans="1:55" ht="28.8" x14ac:dyDescent="0.4">
      <c r="A286" s="15">
        <v>285</v>
      </c>
      <c r="B286" s="16">
        <v>30012</v>
      </c>
      <c r="C286" s="17" t="s">
        <v>481</v>
      </c>
      <c r="D286" s="16" t="s">
        <v>280</v>
      </c>
      <c r="E286" s="16" t="s">
        <v>490</v>
      </c>
      <c r="F286" s="16">
        <v>30</v>
      </c>
      <c r="G286" s="16">
        <v>23</v>
      </c>
      <c r="H286" s="18">
        <f t="shared" si="7"/>
        <v>7</v>
      </c>
      <c r="I286" s="19">
        <f t="shared" si="9"/>
        <v>7000</v>
      </c>
      <c r="J286" s="16">
        <v>0</v>
      </c>
      <c r="K286" s="20">
        <v>0</v>
      </c>
      <c r="L286" s="21"/>
      <c r="M286" s="21"/>
      <c r="N286" s="16">
        <v>0</v>
      </c>
      <c r="O286" s="16">
        <v>0</v>
      </c>
      <c r="P286" s="16">
        <v>7</v>
      </c>
      <c r="Q286" s="16">
        <v>0</v>
      </c>
      <c r="R286" s="16">
        <v>0</v>
      </c>
      <c r="S286" s="32">
        <v>30000</v>
      </c>
      <c r="T286" s="19">
        <f t="shared" si="10"/>
        <v>0</v>
      </c>
      <c r="U286" s="19">
        <f t="shared" si="11"/>
        <v>23000</v>
      </c>
      <c r="V286" s="22">
        <v>23000</v>
      </c>
      <c r="W286" s="31">
        <v>0</v>
      </c>
      <c r="X286" s="22">
        <v>0</v>
      </c>
      <c r="Y286" s="22">
        <v>0</v>
      </c>
      <c r="Z286" s="22">
        <v>0</v>
      </c>
      <c r="AA286" s="22">
        <v>0</v>
      </c>
      <c r="AB286" s="22">
        <v>0</v>
      </c>
      <c r="AC286" s="22">
        <v>0</v>
      </c>
      <c r="AD286" s="22">
        <v>0</v>
      </c>
      <c r="AE286" s="22">
        <v>0</v>
      </c>
      <c r="AF286" s="22">
        <v>0</v>
      </c>
      <c r="AG286" s="22">
        <v>0</v>
      </c>
      <c r="AH286" s="22">
        <v>0</v>
      </c>
      <c r="AI286" s="22">
        <v>805</v>
      </c>
      <c r="AJ286" s="22">
        <v>0</v>
      </c>
      <c r="AK286" s="22">
        <v>0</v>
      </c>
      <c r="AL286" s="22">
        <v>0</v>
      </c>
      <c r="AM286" s="22">
        <v>0</v>
      </c>
      <c r="AN286" s="22">
        <v>0</v>
      </c>
      <c r="AO286" s="22">
        <v>0</v>
      </c>
      <c r="AP286" s="22">
        <v>0</v>
      </c>
      <c r="AQ286" s="22">
        <v>0</v>
      </c>
      <c r="AR286" s="22">
        <v>0</v>
      </c>
      <c r="AS286" s="22">
        <v>0</v>
      </c>
      <c r="AT286" s="22">
        <v>0</v>
      </c>
      <c r="AU286" s="19">
        <f t="shared" si="12"/>
        <v>805</v>
      </c>
      <c r="AV286" s="22">
        <v>22195</v>
      </c>
      <c r="AW286" s="24" t="s">
        <v>54</v>
      </c>
      <c r="AX286" s="25">
        <v>45789</v>
      </c>
      <c r="AY286" s="15"/>
      <c r="AZ286" s="26"/>
      <c r="BA286" s="27">
        <f t="shared" si="8"/>
        <v>0</v>
      </c>
      <c r="BB286" s="14"/>
      <c r="BC286" s="28"/>
    </row>
    <row r="287" spans="1:55" ht="21" x14ac:dyDescent="0.4">
      <c r="A287" s="15">
        <v>286</v>
      </c>
      <c r="B287" s="16">
        <v>29139</v>
      </c>
      <c r="C287" s="17" t="s">
        <v>481</v>
      </c>
      <c r="D287" s="16" t="s">
        <v>212</v>
      </c>
      <c r="E287" s="16" t="s">
        <v>491</v>
      </c>
      <c r="F287" s="16">
        <v>30</v>
      </c>
      <c r="G287" s="16">
        <v>25</v>
      </c>
      <c r="H287" s="18">
        <f t="shared" si="7"/>
        <v>5</v>
      </c>
      <c r="I287" s="19">
        <f t="shared" si="9"/>
        <v>4000</v>
      </c>
      <c r="J287" s="16">
        <v>0</v>
      </c>
      <c r="K287" s="20">
        <v>0</v>
      </c>
      <c r="L287" s="21"/>
      <c r="M287" s="21"/>
      <c r="N287" s="16">
        <v>0</v>
      </c>
      <c r="O287" s="16">
        <v>0</v>
      </c>
      <c r="P287" s="16">
        <v>4</v>
      </c>
      <c r="Q287" s="16">
        <v>1</v>
      </c>
      <c r="R287" s="16">
        <v>0</v>
      </c>
      <c r="S287" s="32">
        <v>24000</v>
      </c>
      <c r="T287" s="19">
        <f t="shared" si="10"/>
        <v>0</v>
      </c>
      <c r="U287" s="19">
        <f t="shared" si="11"/>
        <v>20000</v>
      </c>
      <c r="V287" s="22">
        <v>20000</v>
      </c>
      <c r="W287" s="31">
        <v>0</v>
      </c>
      <c r="X287" s="22">
        <v>0</v>
      </c>
      <c r="Y287" s="22">
        <v>0</v>
      </c>
      <c r="Z287" s="22">
        <v>2400</v>
      </c>
      <c r="AA287" s="22">
        <v>0</v>
      </c>
      <c r="AB287" s="22">
        <v>0</v>
      </c>
      <c r="AC287" s="22">
        <v>2205</v>
      </c>
      <c r="AD287" s="22">
        <v>0</v>
      </c>
      <c r="AE287" s="22">
        <v>0</v>
      </c>
      <c r="AF287" s="22">
        <v>2000</v>
      </c>
      <c r="AG287" s="22">
        <v>0</v>
      </c>
      <c r="AH287" s="22">
        <v>1000</v>
      </c>
      <c r="AI287" s="22">
        <v>875</v>
      </c>
      <c r="AJ287" s="22">
        <v>0</v>
      </c>
      <c r="AK287" s="22">
        <v>0</v>
      </c>
      <c r="AL287" s="22">
        <v>0</v>
      </c>
      <c r="AM287" s="22">
        <v>0</v>
      </c>
      <c r="AN287" s="22">
        <v>0</v>
      </c>
      <c r="AO287" s="22">
        <v>0</v>
      </c>
      <c r="AP287" s="22">
        <v>0</v>
      </c>
      <c r="AQ287" s="22">
        <v>0</v>
      </c>
      <c r="AR287" s="22">
        <v>0</v>
      </c>
      <c r="AS287" s="22">
        <v>0</v>
      </c>
      <c r="AT287" s="22">
        <v>0</v>
      </c>
      <c r="AU287" s="19">
        <f t="shared" si="12"/>
        <v>8480</v>
      </c>
      <c r="AV287" s="22">
        <v>11520</v>
      </c>
      <c r="AW287" s="24" t="s">
        <v>54</v>
      </c>
      <c r="AX287" s="25">
        <v>45789</v>
      </c>
      <c r="AY287" s="15"/>
      <c r="AZ287" s="26"/>
      <c r="BA287" s="27">
        <f t="shared" si="8"/>
        <v>0</v>
      </c>
      <c r="BB287" s="14"/>
      <c r="BC287" s="28"/>
    </row>
    <row r="288" spans="1:55" ht="28.8" x14ac:dyDescent="0.4">
      <c r="A288" s="15">
        <v>287</v>
      </c>
      <c r="B288" s="16">
        <v>32089</v>
      </c>
      <c r="C288" s="17" t="s">
        <v>481</v>
      </c>
      <c r="D288" s="16" t="s">
        <v>280</v>
      </c>
      <c r="E288" s="16" t="s">
        <v>492</v>
      </c>
      <c r="F288" s="16">
        <v>30</v>
      </c>
      <c r="G288" s="16">
        <v>30</v>
      </c>
      <c r="H288" s="18">
        <f t="shared" si="7"/>
        <v>0</v>
      </c>
      <c r="I288" s="19">
        <f t="shared" si="9"/>
        <v>0</v>
      </c>
      <c r="J288" s="16">
        <v>0</v>
      </c>
      <c r="K288" s="20">
        <v>0</v>
      </c>
      <c r="L288" s="21"/>
      <c r="M288" s="21"/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22">
        <v>25000</v>
      </c>
      <c r="T288" s="19">
        <f t="shared" si="10"/>
        <v>0</v>
      </c>
      <c r="U288" s="19">
        <f t="shared" si="11"/>
        <v>25000</v>
      </c>
      <c r="V288" s="22">
        <v>25000</v>
      </c>
      <c r="W288" s="31">
        <v>0</v>
      </c>
      <c r="X288" s="22">
        <v>0</v>
      </c>
      <c r="Y288" s="22">
        <v>0</v>
      </c>
      <c r="Z288" s="22">
        <v>0</v>
      </c>
      <c r="AA288" s="22">
        <v>0</v>
      </c>
      <c r="AB288" s="22">
        <v>0</v>
      </c>
      <c r="AC288" s="22">
        <v>0</v>
      </c>
      <c r="AD288" s="22">
        <v>0</v>
      </c>
      <c r="AE288" s="22">
        <v>0</v>
      </c>
      <c r="AF288" s="22">
        <v>5000</v>
      </c>
      <c r="AG288" s="22">
        <v>0</v>
      </c>
      <c r="AH288" s="22">
        <v>0</v>
      </c>
      <c r="AI288" s="22">
        <v>1050</v>
      </c>
      <c r="AJ288" s="22">
        <v>0</v>
      </c>
      <c r="AK288" s="22">
        <v>0</v>
      </c>
      <c r="AL288" s="22">
        <v>0</v>
      </c>
      <c r="AM288" s="22">
        <v>0</v>
      </c>
      <c r="AN288" s="22">
        <v>0</v>
      </c>
      <c r="AO288" s="22">
        <v>0</v>
      </c>
      <c r="AP288" s="22">
        <v>0</v>
      </c>
      <c r="AQ288" s="22">
        <v>0</v>
      </c>
      <c r="AR288" s="22">
        <v>0</v>
      </c>
      <c r="AS288" s="22">
        <v>0</v>
      </c>
      <c r="AT288" s="22">
        <v>0</v>
      </c>
      <c r="AU288" s="19">
        <f t="shared" si="12"/>
        <v>6050</v>
      </c>
      <c r="AV288" s="22">
        <f>20000-1050</f>
        <v>18950</v>
      </c>
      <c r="AW288" s="24" t="s">
        <v>54</v>
      </c>
      <c r="AX288" s="25">
        <v>45789</v>
      </c>
      <c r="AY288" s="15"/>
      <c r="AZ288" s="26"/>
      <c r="BA288" s="27">
        <f t="shared" si="8"/>
        <v>0</v>
      </c>
      <c r="BB288" s="14"/>
      <c r="BC288" s="28"/>
    </row>
    <row r="289" spans="1:55" ht="21" x14ac:dyDescent="0.4">
      <c r="A289" s="15">
        <v>288</v>
      </c>
      <c r="B289" s="38">
        <v>27205</v>
      </c>
      <c r="C289" s="39" t="s">
        <v>481</v>
      </c>
      <c r="D289" s="38" t="s">
        <v>229</v>
      </c>
      <c r="E289" s="38" t="s">
        <v>249</v>
      </c>
      <c r="F289" s="16">
        <v>30</v>
      </c>
      <c r="G289" s="16">
        <v>30</v>
      </c>
      <c r="H289" s="18">
        <f t="shared" si="7"/>
        <v>0</v>
      </c>
      <c r="I289" s="19">
        <f t="shared" si="9"/>
        <v>0</v>
      </c>
      <c r="J289" s="16">
        <v>1</v>
      </c>
      <c r="K289" s="20">
        <v>0</v>
      </c>
      <c r="L289" s="21"/>
      <c r="M289" s="21"/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22">
        <v>16000</v>
      </c>
      <c r="T289" s="19">
        <f t="shared" si="10"/>
        <v>0</v>
      </c>
      <c r="U289" s="19">
        <f t="shared" si="11"/>
        <v>16000</v>
      </c>
      <c r="V289" s="22">
        <v>15467</v>
      </c>
      <c r="W289" s="31">
        <v>533</v>
      </c>
      <c r="X289" s="22">
        <v>0</v>
      </c>
      <c r="Y289" s="22">
        <v>0</v>
      </c>
      <c r="Z289" s="22">
        <v>0</v>
      </c>
      <c r="AA289" s="22">
        <v>0</v>
      </c>
      <c r="AB289" s="22">
        <v>0</v>
      </c>
      <c r="AC289" s="22">
        <v>0</v>
      </c>
      <c r="AD289" s="22">
        <v>0</v>
      </c>
      <c r="AE289" s="22">
        <v>0</v>
      </c>
      <c r="AF289" s="22">
        <v>3000</v>
      </c>
      <c r="AG289" s="22">
        <v>0</v>
      </c>
      <c r="AH289" s="22">
        <v>0</v>
      </c>
      <c r="AI289" s="22">
        <v>1050</v>
      </c>
      <c r="AJ289" s="22">
        <v>0</v>
      </c>
      <c r="AK289" s="22">
        <v>0</v>
      </c>
      <c r="AL289" s="22">
        <v>0</v>
      </c>
      <c r="AM289" s="22">
        <v>0</v>
      </c>
      <c r="AN289" s="22">
        <v>0</v>
      </c>
      <c r="AO289" s="22">
        <v>0</v>
      </c>
      <c r="AP289" s="22">
        <v>0</v>
      </c>
      <c r="AQ289" s="22">
        <v>0</v>
      </c>
      <c r="AR289" s="22">
        <v>0</v>
      </c>
      <c r="AS289" s="22">
        <v>0</v>
      </c>
      <c r="AT289" s="22">
        <v>0</v>
      </c>
      <c r="AU289" s="19">
        <f t="shared" si="12"/>
        <v>4050</v>
      </c>
      <c r="AV289" s="22">
        <f>13000-1050</f>
        <v>11950</v>
      </c>
      <c r="AW289" s="24" t="s">
        <v>54</v>
      </c>
      <c r="AX289" s="25">
        <v>45789</v>
      </c>
      <c r="AY289" s="15"/>
      <c r="AZ289" s="26"/>
      <c r="BA289" s="27">
        <f t="shared" si="8"/>
        <v>1.8189894035458565E-12</v>
      </c>
      <c r="BB289" s="14"/>
      <c r="BC289" s="28"/>
    </row>
    <row r="290" spans="1:55" ht="42.6" x14ac:dyDescent="0.4">
      <c r="A290" s="15">
        <v>289</v>
      </c>
      <c r="B290" s="16">
        <v>32160</v>
      </c>
      <c r="C290" s="17" t="s">
        <v>481</v>
      </c>
      <c r="D290" s="16" t="s">
        <v>212</v>
      </c>
      <c r="E290" s="16" t="s">
        <v>493</v>
      </c>
      <c r="F290" s="16">
        <v>30</v>
      </c>
      <c r="G290" s="16">
        <v>30</v>
      </c>
      <c r="H290" s="18">
        <f t="shared" si="7"/>
        <v>0</v>
      </c>
      <c r="I290" s="19">
        <f t="shared" si="9"/>
        <v>0</v>
      </c>
      <c r="J290" s="16">
        <v>0</v>
      </c>
      <c r="K290" s="20">
        <v>0</v>
      </c>
      <c r="L290" s="21"/>
      <c r="M290" s="21"/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32">
        <v>25000</v>
      </c>
      <c r="T290" s="19">
        <f t="shared" si="10"/>
        <v>0</v>
      </c>
      <c r="U290" s="19">
        <f t="shared" si="11"/>
        <v>25000</v>
      </c>
      <c r="V290" s="22">
        <v>25000</v>
      </c>
      <c r="W290" s="31">
        <v>0</v>
      </c>
      <c r="X290" s="22">
        <v>0</v>
      </c>
      <c r="Y290" s="22">
        <v>0</v>
      </c>
      <c r="Z290" s="22">
        <v>0</v>
      </c>
      <c r="AA290" s="22">
        <v>0</v>
      </c>
      <c r="AB290" s="22">
        <v>0</v>
      </c>
      <c r="AC290" s="22">
        <v>1573</v>
      </c>
      <c r="AD290" s="22">
        <v>0</v>
      </c>
      <c r="AE290" s="22">
        <v>0</v>
      </c>
      <c r="AF290" s="22">
        <v>0</v>
      </c>
      <c r="AG290" s="22">
        <v>0</v>
      </c>
      <c r="AH290" s="22">
        <v>0</v>
      </c>
      <c r="AI290" s="22">
        <v>1050</v>
      </c>
      <c r="AJ290" s="22">
        <v>0</v>
      </c>
      <c r="AK290" s="22">
        <v>0</v>
      </c>
      <c r="AL290" s="22">
        <v>0</v>
      </c>
      <c r="AM290" s="22">
        <v>0</v>
      </c>
      <c r="AN290" s="22">
        <v>0</v>
      </c>
      <c r="AO290" s="22">
        <v>0</v>
      </c>
      <c r="AP290" s="22">
        <v>0</v>
      </c>
      <c r="AQ290" s="22">
        <v>0</v>
      </c>
      <c r="AR290" s="22">
        <v>0</v>
      </c>
      <c r="AS290" s="22">
        <v>0</v>
      </c>
      <c r="AT290" s="22">
        <v>0</v>
      </c>
      <c r="AU290" s="19">
        <f t="shared" si="12"/>
        <v>2623</v>
      </c>
      <c r="AV290" s="22">
        <f>23427-1050</f>
        <v>22377</v>
      </c>
      <c r="AW290" s="24" t="s">
        <v>54</v>
      </c>
      <c r="AX290" s="25">
        <v>45789</v>
      </c>
      <c r="AY290" s="15"/>
      <c r="AZ290" s="26"/>
      <c r="BA290" s="27">
        <f t="shared" si="8"/>
        <v>0</v>
      </c>
      <c r="BB290" s="14"/>
      <c r="BC290" s="28"/>
    </row>
    <row r="291" spans="1:55" ht="56.4" x14ac:dyDescent="0.4">
      <c r="A291" s="15">
        <v>290</v>
      </c>
      <c r="B291" s="16">
        <v>80335</v>
      </c>
      <c r="C291" s="17" t="s">
        <v>481</v>
      </c>
      <c r="D291" s="16" t="s">
        <v>484</v>
      </c>
      <c r="E291" s="16" t="s">
        <v>494</v>
      </c>
      <c r="F291" s="16">
        <v>30</v>
      </c>
      <c r="G291" s="16">
        <v>8</v>
      </c>
      <c r="H291" s="18">
        <f t="shared" si="7"/>
        <v>22</v>
      </c>
      <c r="I291" s="19">
        <f t="shared" si="9"/>
        <v>11733.333333333334</v>
      </c>
      <c r="J291" s="16">
        <v>2</v>
      </c>
      <c r="K291" s="33">
        <v>1</v>
      </c>
      <c r="L291" s="21"/>
      <c r="M291" s="21"/>
      <c r="N291" s="16">
        <v>0</v>
      </c>
      <c r="O291" s="16">
        <v>0</v>
      </c>
      <c r="P291" s="16">
        <v>0</v>
      </c>
      <c r="Q291" s="16">
        <v>0</v>
      </c>
      <c r="R291" s="16">
        <v>22</v>
      </c>
      <c r="S291" s="22">
        <v>16000</v>
      </c>
      <c r="T291" s="19">
        <f t="shared" si="10"/>
        <v>533.33333333333337</v>
      </c>
      <c r="U291" s="19">
        <f t="shared" si="11"/>
        <v>4266</v>
      </c>
      <c r="V291" s="22">
        <v>3200</v>
      </c>
      <c r="W291" s="31">
        <f>533+533</f>
        <v>1066</v>
      </c>
      <c r="X291" s="22">
        <v>0</v>
      </c>
      <c r="Y291" s="22">
        <v>0</v>
      </c>
      <c r="Z291" s="22">
        <v>0</v>
      </c>
      <c r="AA291" s="22">
        <v>0</v>
      </c>
      <c r="AB291" s="22">
        <v>0</v>
      </c>
      <c r="AC291" s="22">
        <v>0</v>
      </c>
      <c r="AD291" s="22">
        <v>0</v>
      </c>
      <c r="AE291" s="22">
        <v>0</v>
      </c>
      <c r="AF291" s="22">
        <v>0</v>
      </c>
      <c r="AG291" s="22">
        <v>0</v>
      </c>
      <c r="AH291" s="22">
        <v>0</v>
      </c>
      <c r="AI291" s="22">
        <v>280</v>
      </c>
      <c r="AJ291" s="22">
        <v>0</v>
      </c>
      <c r="AK291" s="22">
        <v>0</v>
      </c>
      <c r="AL291" s="22">
        <v>0</v>
      </c>
      <c r="AM291" s="22">
        <v>0</v>
      </c>
      <c r="AN291" s="22">
        <v>0</v>
      </c>
      <c r="AO291" s="22">
        <v>0</v>
      </c>
      <c r="AP291" s="22">
        <v>0</v>
      </c>
      <c r="AQ291" s="22">
        <v>0</v>
      </c>
      <c r="AR291" s="22">
        <v>0</v>
      </c>
      <c r="AS291" s="22">
        <v>0</v>
      </c>
      <c r="AT291" s="22">
        <v>0</v>
      </c>
      <c r="AU291" s="19">
        <f t="shared" si="12"/>
        <v>280</v>
      </c>
      <c r="AV291" s="22">
        <f>3453.33+533</f>
        <v>3986.33</v>
      </c>
      <c r="AW291" s="29"/>
      <c r="AX291" s="34"/>
      <c r="AY291" s="15"/>
      <c r="AZ291" s="26"/>
      <c r="BA291" s="27">
        <f t="shared" si="8"/>
        <v>-532.99666666666644</v>
      </c>
      <c r="BB291" s="14"/>
      <c r="BC291" s="28"/>
    </row>
    <row r="292" spans="1:55" ht="28.8" x14ac:dyDescent="0.4">
      <c r="A292" s="15">
        <v>291</v>
      </c>
      <c r="B292" s="16">
        <v>80378</v>
      </c>
      <c r="C292" s="17" t="s">
        <v>481</v>
      </c>
      <c r="D292" s="16" t="s">
        <v>280</v>
      </c>
      <c r="E292" s="16" t="s">
        <v>495</v>
      </c>
      <c r="F292" s="16">
        <v>30</v>
      </c>
      <c r="G292" s="16">
        <v>8</v>
      </c>
      <c r="H292" s="18">
        <f t="shared" si="7"/>
        <v>22</v>
      </c>
      <c r="I292" s="19">
        <f t="shared" si="9"/>
        <v>18333.333333333336</v>
      </c>
      <c r="J292" s="16">
        <v>0</v>
      </c>
      <c r="K292" s="20">
        <v>0</v>
      </c>
      <c r="L292" s="21"/>
      <c r="M292" s="21"/>
      <c r="N292" s="16">
        <v>0</v>
      </c>
      <c r="O292" s="16">
        <v>0</v>
      </c>
      <c r="P292" s="16">
        <v>0</v>
      </c>
      <c r="Q292" s="16">
        <v>0</v>
      </c>
      <c r="R292" s="16">
        <v>22</v>
      </c>
      <c r="S292" s="32">
        <v>25000</v>
      </c>
      <c r="T292" s="19">
        <f t="shared" si="10"/>
        <v>0</v>
      </c>
      <c r="U292" s="19">
        <f t="shared" si="11"/>
        <v>6667</v>
      </c>
      <c r="V292" s="22">
        <v>6667</v>
      </c>
      <c r="W292" s="31">
        <v>0</v>
      </c>
      <c r="X292" s="22">
        <v>0</v>
      </c>
      <c r="Y292" s="22">
        <v>0</v>
      </c>
      <c r="Z292" s="22">
        <v>0</v>
      </c>
      <c r="AA292" s="22">
        <v>0</v>
      </c>
      <c r="AB292" s="22">
        <v>0</v>
      </c>
      <c r="AC292" s="22">
        <v>0</v>
      </c>
      <c r="AD292" s="22">
        <v>0</v>
      </c>
      <c r="AE292" s="22">
        <v>0</v>
      </c>
      <c r="AF292" s="22">
        <v>0</v>
      </c>
      <c r="AG292" s="22">
        <v>0</v>
      </c>
      <c r="AH292" s="22">
        <v>0</v>
      </c>
      <c r="AI292" s="22">
        <v>280</v>
      </c>
      <c r="AJ292" s="22">
        <v>0</v>
      </c>
      <c r="AK292" s="22">
        <v>0</v>
      </c>
      <c r="AL292" s="22">
        <v>0</v>
      </c>
      <c r="AM292" s="22">
        <v>0</v>
      </c>
      <c r="AN292" s="22">
        <v>0</v>
      </c>
      <c r="AO292" s="22">
        <v>0</v>
      </c>
      <c r="AP292" s="22">
        <v>0</v>
      </c>
      <c r="AQ292" s="22">
        <v>0</v>
      </c>
      <c r="AR292" s="22">
        <v>0</v>
      </c>
      <c r="AS292" s="22">
        <v>0</v>
      </c>
      <c r="AT292" s="22">
        <v>0</v>
      </c>
      <c r="AU292" s="19">
        <f t="shared" si="12"/>
        <v>280</v>
      </c>
      <c r="AV292" s="22">
        <f>6106.67+280</f>
        <v>6386.67</v>
      </c>
      <c r="AW292" s="24"/>
      <c r="AX292" s="34"/>
      <c r="AY292" s="15"/>
      <c r="AZ292" s="26"/>
      <c r="BA292" s="27">
        <f t="shared" si="8"/>
        <v>-3.333333333102928E-3</v>
      </c>
      <c r="BB292" s="14"/>
      <c r="BC292" s="28"/>
    </row>
    <row r="293" spans="1:55" ht="28.8" x14ac:dyDescent="0.4">
      <c r="A293" s="15">
        <v>292</v>
      </c>
      <c r="B293" s="16">
        <v>80391</v>
      </c>
      <c r="C293" s="17" t="s">
        <v>481</v>
      </c>
      <c r="D293" s="16" t="s">
        <v>280</v>
      </c>
      <c r="E293" s="16" t="s">
        <v>496</v>
      </c>
      <c r="F293" s="16">
        <v>30</v>
      </c>
      <c r="G293" s="16">
        <v>30</v>
      </c>
      <c r="H293" s="18">
        <f t="shared" si="7"/>
        <v>0</v>
      </c>
      <c r="I293" s="19">
        <f t="shared" si="9"/>
        <v>0</v>
      </c>
      <c r="J293" s="16">
        <v>0</v>
      </c>
      <c r="K293" s="20">
        <v>0</v>
      </c>
      <c r="L293" s="21"/>
      <c r="M293" s="21"/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32">
        <v>25000</v>
      </c>
      <c r="T293" s="19">
        <f t="shared" si="10"/>
        <v>0</v>
      </c>
      <c r="U293" s="19">
        <f t="shared" si="11"/>
        <v>25000</v>
      </c>
      <c r="V293" s="22">
        <v>25000</v>
      </c>
      <c r="W293" s="31">
        <v>0</v>
      </c>
      <c r="X293" s="22">
        <v>0</v>
      </c>
      <c r="Y293" s="22">
        <v>0</v>
      </c>
      <c r="Z293" s="22">
        <v>0</v>
      </c>
      <c r="AA293" s="22">
        <v>0</v>
      </c>
      <c r="AB293" s="22">
        <v>0</v>
      </c>
      <c r="AC293" s="22">
        <v>0</v>
      </c>
      <c r="AD293" s="22">
        <v>0</v>
      </c>
      <c r="AE293" s="22">
        <v>0</v>
      </c>
      <c r="AF293" s="22">
        <v>3000</v>
      </c>
      <c r="AG293" s="22">
        <v>0</v>
      </c>
      <c r="AH293" s="22">
        <v>0</v>
      </c>
      <c r="AI293" s="22">
        <v>1050</v>
      </c>
      <c r="AJ293" s="22">
        <v>0</v>
      </c>
      <c r="AK293" s="22">
        <v>0</v>
      </c>
      <c r="AL293" s="22">
        <v>0</v>
      </c>
      <c r="AM293" s="22">
        <v>0</v>
      </c>
      <c r="AN293" s="22">
        <v>0</v>
      </c>
      <c r="AO293" s="22">
        <v>0</v>
      </c>
      <c r="AP293" s="22">
        <v>0</v>
      </c>
      <c r="AQ293" s="22">
        <v>0</v>
      </c>
      <c r="AR293" s="22">
        <v>0</v>
      </c>
      <c r="AS293" s="22">
        <v>0</v>
      </c>
      <c r="AT293" s="22">
        <v>0</v>
      </c>
      <c r="AU293" s="19">
        <f t="shared" si="12"/>
        <v>4050</v>
      </c>
      <c r="AV293" s="22">
        <v>20950</v>
      </c>
      <c r="AW293" s="24" t="s">
        <v>54</v>
      </c>
      <c r="AX293" s="25">
        <v>45790</v>
      </c>
      <c r="AY293" s="15"/>
      <c r="AZ293" s="26"/>
      <c r="BA293" s="27">
        <f t="shared" si="8"/>
        <v>0</v>
      </c>
      <c r="BB293" s="14"/>
      <c r="BC293" s="28"/>
    </row>
    <row r="294" spans="1:55" ht="28.8" x14ac:dyDescent="0.4">
      <c r="A294" s="15">
        <v>293</v>
      </c>
      <c r="B294" s="16">
        <v>80411</v>
      </c>
      <c r="C294" s="17" t="s">
        <v>481</v>
      </c>
      <c r="D294" s="16" t="s">
        <v>221</v>
      </c>
      <c r="E294" s="16" t="s">
        <v>497</v>
      </c>
      <c r="F294" s="16">
        <v>30</v>
      </c>
      <c r="G294" s="16">
        <v>30</v>
      </c>
      <c r="H294" s="18">
        <f t="shared" si="7"/>
        <v>0</v>
      </c>
      <c r="I294" s="19">
        <f t="shared" si="9"/>
        <v>0</v>
      </c>
      <c r="J294" s="16">
        <v>0</v>
      </c>
      <c r="K294" s="20">
        <v>0</v>
      </c>
      <c r="L294" s="21"/>
      <c r="M294" s="21"/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22">
        <v>16000</v>
      </c>
      <c r="T294" s="19">
        <f t="shared" si="10"/>
        <v>0</v>
      </c>
      <c r="U294" s="19">
        <f t="shared" si="11"/>
        <v>16000</v>
      </c>
      <c r="V294" s="22">
        <v>16000</v>
      </c>
      <c r="W294" s="31">
        <v>0</v>
      </c>
      <c r="X294" s="22">
        <v>0</v>
      </c>
      <c r="Y294" s="22">
        <v>0</v>
      </c>
      <c r="Z294" s="22">
        <v>0</v>
      </c>
      <c r="AA294" s="22">
        <v>0</v>
      </c>
      <c r="AB294" s="22">
        <v>0</v>
      </c>
      <c r="AC294" s="22">
        <v>0</v>
      </c>
      <c r="AD294" s="22">
        <v>0</v>
      </c>
      <c r="AE294" s="22">
        <v>0</v>
      </c>
      <c r="AF294" s="22">
        <v>0</v>
      </c>
      <c r="AG294" s="22">
        <v>0</v>
      </c>
      <c r="AH294" s="22">
        <v>0</v>
      </c>
      <c r="AI294" s="22">
        <v>1050</v>
      </c>
      <c r="AJ294" s="22">
        <v>0</v>
      </c>
      <c r="AK294" s="22">
        <v>0</v>
      </c>
      <c r="AL294" s="22">
        <v>0</v>
      </c>
      <c r="AM294" s="22">
        <v>0</v>
      </c>
      <c r="AN294" s="22">
        <v>0</v>
      </c>
      <c r="AO294" s="22">
        <v>0</v>
      </c>
      <c r="AP294" s="22">
        <v>0</v>
      </c>
      <c r="AQ294" s="22">
        <v>0</v>
      </c>
      <c r="AR294" s="22">
        <v>0</v>
      </c>
      <c r="AS294" s="22">
        <v>0</v>
      </c>
      <c r="AT294" s="22">
        <v>0</v>
      </c>
      <c r="AU294" s="19">
        <f t="shared" si="12"/>
        <v>1050</v>
      </c>
      <c r="AV294" s="22">
        <v>14950</v>
      </c>
      <c r="AW294" s="24" t="s">
        <v>54</v>
      </c>
      <c r="AX294" s="25">
        <v>45789</v>
      </c>
      <c r="AY294" s="15"/>
      <c r="AZ294" s="26"/>
      <c r="BA294" s="27">
        <f t="shared" si="8"/>
        <v>1.8189894035458565E-12</v>
      </c>
      <c r="BB294" s="14"/>
      <c r="BC294" s="28"/>
    </row>
    <row r="295" spans="1:55" ht="28.8" x14ac:dyDescent="0.4">
      <c r="A295" s="15">
        <v>294</v>
      </c>
      <c r="B295" s="16">
        <v>80435</v>
      </c>
      <c r="C295" s="17" t="s">
        <v>481</v>
      </c>
      <c r="D295" s="16" t="s">
        <v>221</v>
      </c>
      <c r="E295" s="16" t="s">
        <v>498</v>
      </c>
      <c r="F295" s="16">
        <v>30</v>
      </c>
      <c r="G295" s="16">
        <v>13</v>
      </c>
      <c r="H295" s="18">
        <f t="shared" si="7"/>
        <v>17</v>
      </c>
      <c r="I295" s="19">
        <f t="shared" si="9"/>
        <v>11333.333333333332</v>
      </c>
      <c r="J295" s="16">
        <v>0</v>
      </c>
      <c r="K295" s="20">
        <v>0</v>
      </c>
      <c r="L295" s="21"/>
      <c r="M295" s="21"/>
      <c r="N295" s="16">
        <v>0</v>
      </c>
      <c r="O295" s="16">
        <v>0</v>
      </c>
      <c r="P295" s="16">
        <v>0</v>
      </c>
      <c r="Q295" s="16">
        <v>0</v>
      </c>
      <c r="R295" s="16">
        <v>17</v>
      </c>
      <c r="S295" s="32">
        <v>20000</v>
      </c>
      <c r="T295" s="19">
        <f t="shared" si="10"/>
        <v>0</v>
      </c>
      <c r="U295" s="19">
        <f t="shared" si="11"/>
        <v>8666.6666666666661</v>
      </c>
      <c r="V295" s="22">
        <f>20000/30*13</f>
        <v>8666.6666666666661</v>
      </c>
      <c r="W295" s="31">
        <v>0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v>0</v>
      </c>
      <c r="AD295" s="22">
        <v>0</v>
      </c>
      <c r="AE295" s="22">
        <v>0</v>
      </c>
      <c r="AF295" s="22">
        <v>0</v>
      </c>
      <c r="AG295" s="22">
        <v>0</v>
      </c>
      <c r="AH295" s="22">
        <v>0</v>
      </c>
      <c r="AI295" s="22">
        <v>455</v>
      </c>
      <c r="AJ295" s="22">
        <v>0</v>
      </c>
      <c r="AK295" s="22">
        <v>0</v>
      </c>
      <c r="AL295" s="22">
        <v>0</v>
      </c>
      <c r="AM295" s="22">
        <v>0</v>
      </c>
      <c r="AN295" s="22">
        <v>0</v>
      </c>
      <c r="AO295" s="22">
        <v>0</v>
      </c>
      <c r="AP295" s="22">
        <v>0</v>
      </c>
      <c r="AQ295" s="22">
        <v>0</v>
      </c>
      <c r="AR295" s="22">
        <v>0</v>
      </c>
      <c r="AS295" s="22">
        <v>0</v>
      </c>
      <c r="AT295" s="22">
        <v>0</v>
      </c>
      <c r="AU295" s="19">
        <f t="shared" si="12"/>
        <v>455</v>
      </c>
      <c r="AV295" s="22">
        <v>8212</v>
      </c>
      <c r="AW295" s="24" t="s">
        <v>54</v>
      </c>
      <c r="AX295" s="25">
        <v>45789</v>
      </c>
      <c r="AY295" s="15"/>
      <c r="AZ295" s="26"/>
      <c r="BA295" s="27">
        <f t="shared" si="8"/>
        <v>-0.33333333333393966</v>
      </c>
      <c r="BB295" s="14"/>
      <c r="BC295" s="28"/>
    </row>
    <row r="296" spans="1:55" ht="43.8" x14ac:dyDescent="0.5">
      <c r="A296" s="15">
        <v>295</v>
      </c>
      <c r="B296" s="16">
        <v>80592</v>
      </c>
      <c r="C296" s="17" t="s">
        <v>481</v>
      </c>
      <c r="D296" s="16" t="s">
        <v>221</v>
      </c>
      <c r="E296" s="16" t="s">
        <v>499</v>
      </c>
      <c r="F296" s="16">
        <v>30</v>
      </c>
      <c r="G296" s="16">
        <v>30</v>
      </c>
      <c r="H296" s="18">
        <f t="shared" si="7"/>
        <v>0</v>
      </c>
      <c r="I296" s="19">
        <f t="shared" si="9"/>
        <v>0</v>
      </c>
      <c r="J296" s="16">
        <v>0</v>
      </c>
      <c r="K296" s="20">
        <v>0</v>
      </c>
      <c r="L296" s="21"/>
      <c r="M296" s="21"/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22">
        <v>16000</v>
      </c>
      <c r="T296" s="19">
        <f t="shared" si="10"/>
        <v>0</v>
      </c>
      <c r="U296" s="19">
        <f t="shared" si="11"/>
        <v>16000</v>
      </c>
      <c r="V296" s="22">
        <v>16000</v>
      </c>
      <c r="W296" s="31">
        <v>0</v>
      </c>
      <c r="X296" s="22">
        <v>0</v>
      </c>
      <c r="Y296" s="22">
        <v>0</v>
      </c>
      <c r="Z296" s="22">
        <v>0</v>
      </c>
      <c r="AA296" s="22">
        <v>0</v>
      </c>
      <c r="AB296" s="22">
        <v>0</v>
      </c>
      <c r="AC296" s="22">
        <v>0</v>
      </c>
      <c r="AD296" s="22">
        <v>0</v>
      </c>
      <c r="AE296" s="22">
        <v>0</v>
      </c>
      <c r="AF296" s="22">
        <v>0</v>
      </c>
      <c r="AG296" s="22">
        <v>0</v>
      </c>
      <c r="AH296" s="22">
        <v>0</v>
      </c>
      <c r="AI296" s="22">
        <v>1050</v>
      </c>
      <c r="AJ296" s="22">
        <v>0</v>
      </c>
      <c r="AK296" s="22">
        <v>0</v>
      </c>
      <c r="AL296" s="22">
        <v>0</v>
      </c>
      <c r="AM296" s="22">
        <v>0</v>
      </c>
      <c r="AN296" s="22">
        <v>0</v>
      </c>
      <c r="AO296" s="22">
        <v>0</v>
      </c>
      <c r="AP296" s="22">
        <v>0</v>
      </c>
      <c r="AQ296" s="22">
        <v>0</v>
      </c>
      <c r="AR296" s="22">
        <v>0</v>
      </c>
      <c r="AS296" s="22">
        <v>0</v>
      </c>
      <c r="AT296" s="22">
        <v>0</v>
      </c>
      <c r="AU296" s="19">
        <f t="shared" si="12"/>
        <v>1050</v>
      </c>
      <c r="AV296" s="22">
        <v>14950</v>
      </c>
      <c r="AW296" s="24" t="s">
        <v>54</v>
      </c>
      <c r="AX296" s="40">
        <v>45792</v>
      </c>
      <c r="AY296" s="15" t="s">
        <v>500</v>
      </c>
      <c r="AZ296" s="26"/>
      <c r="BA296" s="27">
        <f t="shared" si="8"/>
        <v>1.8189894035458565E-12</v>
      </c>
      <c r="BB296" s="14"/>
      <c r="BC296" s="28"/>
    </row>
    <row r="297" spans="1:55" ht="28.8" x14ac:dyDescent="0.4">
      <c r="A297" s="15">
        <v>296</v>
      </c>
      <c r="B297" s="16">
        <v>80701</v>
      </c>
      <c r="C297" s="17" t="s">
        <v>481</v>
      </c>
      <c r="D297" s="16" t="s">
        <v>419</v>
      </c>
      <c r="E297" s="16" t="s">
        <v>501</v>
      </c>
      <c r="F297" s="16">
        <v>30</v>
      </c>
      <c r="G297" s="16">
        <v>29</v>
      </c>
      <c r="H297" s="18">
        <f t="shared" si="7"/>
        <v>1</v>
      </c>
      <c r="I297" s="19">
        <f t="shared" si="9"/>
        <v>800</v>
      </c>
      <c r="J297" s="16">
        <v>0</v>
      </c>
      <c r="K297" s="20">
        <v>0</v>
      </c>
      <c r="L297" s="21"/>
      <c r="M297" s="21"/>
      <c r="N297" s="16">
        <v>0</v>
      </c>
      <c r="O297" s="16">
        <v>0</v>
      </c>
      <c r="P297" s="16">
        <v>0</v>
      </c>
      <c r="Q297" s="16">
        <v>0</v>
      </c>
      <c r="R297" s="16">
        <v>1</v>
      </c>
      <c r="S297" s="22">
        <v>24000</v>
      </c>
      <c r="T297" s="19">
        <f t="shared" si="10"/>
        <v>0</v>
      </c>
      <c r="U297" s="19">
        <f t="shared" si="11"/>
        <v>23200</v>
      </c>
      <c r="V297" s="22">
        <v>23200</v>
      </c>
      <c r="W297" s="31">
        <v>0</v>
      </c>
      <c r="X297" s="22">
        <v>0</v>
      </c>
      <c r="Y297" s="22">
        <v>0</v>
      </c>
      <c r="Z297" s="22">
        <v>0</v>
      </c>
      <c r="AA297" s="22">
        <v>0</v>
      </c>
      <c r="AB297" s="22">
        <v>0</v>
      </c>
      <c r="AC297" s="22">
        <v>0</v>
      </c>
      <c r="AD297" s="22">
        <v>0</v>
      </c>
      <c r="AE297" s="22">
        <v>0</v>
      </c>
      <c r="AF297" s="22">
        <v>0</v>
      </c>
      <c r="AG297" s="22">
        <v>0</v>
      </c>
      <c r="AH297" s="22">
        <v>0</v>
      </c>
      <c r="AI297" s="22">
        <v>1015</v>
      </c>
      <c r="AJ297" s="22">
        <v>0</v>
      </c>
      <c r="AK297" s="22">
        <v>0</v>
      </c>
      <c r="AL297" s="22">
        <v>0</v>
      </c>
      <c r="AM297" s="22">
        <v>0</v>
      </c>
      <c r="AN297" s="22">
        <v>0</v>
      </c>
      <c r="AO297" s="22">
        <v>0</v>
      </c>
      <c r="AP297" s="22">
        <v>0</v>
      </c>
      <c r="AQ297" s="22">
        <v>0</v>
      </c>
      <c r="AR297" s="22">
        <v>0</v>
      </c>
      <c r="AS297" s="22">
        <v>0</v>
      </c>
      <c r="AT297" s="22">
        <v>0</v>
      </c>
      <c r="AU297" s="19">
        <f t="shared" si="12"/>
        <v>1015</v>
      </c>
      <c r="AV297" s="22">
        <v>22185</v>
      </c>
      <c r="AW297" s="24" t="s">
        <v>54</v>
      </c>
      <c r="AX297" s="25">
        <v>45789</v>
      </c>
      <c r="AY297" s="15"/>
      <c r="AZ297" s="26"/>
      <c r="BA297" s="27">
        <f t="shared" si="8"/>
        <v>0</v>
      </c>
      <c r="BB297" s="14"/>
      <c r="BC297" s="28"/>
    </row>
    <row r="298" spans="1:55" ht="28.8" x14ac:dyDescent="0.4">
      <c r="A298" s="15">
        <v>297</v>
      </c>
      <c r="B298" s="16">
        <v>80720</v>
      </c>
      <c r="C298" s="17" t="s">
        <v>481</v>
      </c>
      <c r="D298" s="16" t="s">
        <v>217</v>
      </c>
      <c r="E298" s="16" t="s">
        <v>502</v>
      </c>
      <c r="F298" s="16">
        <v>30</v>
      </c>
      <c r="G298" s="16">
        <v>28</v>
      </c>
      <c r="H298" s="18">
        <f t="shared" si="7"/>
        <v>2</v>
      </c>
      <c r="I298" s="19">
        <f t="shared" si="9"/>
        <v>1533.3333333333333</v>
      </c>
      <c r="J298" s="16">
        <v>0</v>
      </c>
      <c r="K298" s="20">
        <v>0</v>
      </c>
      <c r="L298" s="21"/>
      <c r="M298" s="21"/>
      <c r="N298" s="16">
        <v>0</v>
      </c>
      <c r="O298" s="16">
        <v>0</v>
      </c>
      <c r="P298" s="16">
        <v>2</v>
      </c>
      <c r="Q298" s="16">
        <v>0</v>
      </c>
      <c r="R298" s="16">
        <v>0</v>
      </c>
      <c r="S298" s="22">
        <v>23000</v>
      </c>
      <c r="T298" s="19">
        <f t="shared" si="10"/>
        <v>0</v>
      </c>
      <c r="U298" s="19">
        <f t="shared" si="11"/>
        <v>21467</v>
      </c>
      <c r="V298" s="22">
        <v>21467</v>
      </c>
      <c r="W298" s="31">
        <v>0</v>
      </c>
      <c r="X298" s="22">
        <v>0</v>
      </c>
      <c r="Y298" s="22">
        <v>0</v>
      </c>
      <c r="Z298" s="22">
        <v>0</v>
      </c>
      <c r="AA298" s="22">
        <v>0</v>
      </c>
      <c r="AB298" s="22">
        <v>0</v>
      </c>
      <c r="AC298" s="22">
        <v>0</v>
      </c>
      <c r="AD298" s="22">
        <v>0</v>
      </c>
      <c r="AE298" s="22">
        <v>0</v>
      </c>
      <c r="AF298" s="22">
        <v>4000</v>
      </c>
      <c r="AG298" s="22">
        <v>0</v>
      </c>
      <c r="AH298" s="22">
        <v>0</v>
      </c>
      <c r="AI298" s="22">
        <v>980</v>
      </c>
      <c r="AJ298" s="22">
        <v>0</v>
      </c>
      <c r="AK298" s="22">
        <v>0</v>
      </c>
      <c r="AL298" s="22">
        <v>0</v>
      </c>
      <c r="AM298" s="22">
        <v>0</v>
      </c>
      <c r="AN298" s="22">
        <v>0</v>
      </c>
      <c r="AO298" s="22">
        <v>0</v>
      </c>
      <c r="AP298" s="22">
        <v>0</v>
      </c>
      <c r="AQ298" s="22">
        <v>0</v>
      </c>
      <c r="AR298" s="22">
        <v>0</v>
      </c>
      <c r="AS298" s="22">
        <v>0</v>
      </c>
      <c r="AT298" s="22">
        <v>0</v>
      </c>
      <c r="AU298" s="19">
        <f t="shared" si="12"/>
        <v>4980</v>
      </c>
      <c r="AV298" s="22">
        <v>16486.669999999998</v>
      </c>
      <c r="AW298" s="24" t="s">
        <v>54</v>
      </c>
      <c r="AX298" s="25">
        <v>45789</v>
      </c>
      <c r="AY298" s="15"/>
      <c r="AZ298" s="26"/>
      <c r="BA298" s="27">
        <f t="shared" si="8"/>
        <v>-3.3333333340124227E-3</v>
      </c>
      <c r="BB298" s="14"/>
      <c r="BC298" s="26"/>
    </row>
    <row r="299" spans="1:55" ht="42.6" x14ac:dyDescent="0.4">
      <c r="A299" s="15">
        <v>298</v>
      </c>
      <c r="B299" s="16">
        <v>80722</v>
      </c>
      <c r="C299" s="17" t="s">
        <v>481</v>
      </c>
      <c r="D299" s="16" t="s">
        <v>484</v>
      </c>
      <c r="E299" s="16" t="s">
        <v>503</v>
      </c>
      <c r="F299" s="16">
        <v>30</v>
      </c>
      <c r="G299" s="16">
        <v>12</v>
      </c>
      <c r="H299" s="18">
        <f t="shared" si="7"/>
        <v>18</v>
      </c>
      <c r="I299" s="19">
        <f t="shared" si="9"/>
        <v>9600</v>
      </c>
      <c r="J299" s="16">
        <v>0</v>
      </c>
      <c r="K299" s="20">
        <v>0</v>
      </c>
      <c r="L299" s="21"/>
      <c r="M299" s="21"/>
      <c r="N299" s="16">
        <v>0</v>
      </c>
      <c r="O299" s="16">
        <v>0</v>
      </c>
      <c r="P299" s="16">
        <v>0</v>
      </c>
      <c r="Q299" s="16">
        <v>0</v>
      </c>
      <c r="R299" s="16">
        <v>18</v>
      </c>
      <c r="S299" s="22">
        <v>16000</v>
      </c>
      <c r="T299" s="19">
        <f t="shared" si="10"/>
        <v>0</v>
      </c>
      <c r="U299" s="19">
        <f t="shared" si="11"/>
        <v>6400</v>
      </c>
      <c r="V299" s="22">
        <v>6400</v>
      </c>
      <c r="W299" s="31">
        <v>0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v>0</v>
      </c>
      <c r="AD299" s="22">
        <v>0</v>
      </c>
      <c r="AE299" s="22">
        <v>0</v>
      </c>
      <c r="AF299" s="22">
        <v>0</v>
      </c>
      <c r="AG299" s="22">
        <v>0</v>
      </c>
      <c r="AH299" s="22">
        <v>0</v>
      </c>
      <c r="AI299" s="22">
        <v>420</v>
      </c>
      <c r="AJ299" s="22">
        <v>0</v>
      </c>
      <c r="AK299" s="22">
        <v>0</v>
      </c>
      <c r="AL299" s="22">
        <v>0</v>
      </c>
      <c r="AM299" s="22">
        <v>0</v>
      </c>
      <c r="AN299" s="22">
        <v>0</v>
      </c>
      <c r="AO299" s="22">
        <v>0</v>
      </c>
      <c r="AP299" s="22">
        <v>0</v>
      </c>
      <c r="AQ299" s="22">
        <v>0</v>
      </c>
      <c r="AR299" s="22">
        <v>0</v>
      </c>
      <c r="AS299" s="22">
        <v>0</v>
      </c>
      <c r="AT299" s="22">
        <v>0</v>
      </c>
      <c r="AU299" s="19">
        <f t="shared" si="12"/>
        <v>420</v>
      </c>
      <c r="AV299" s="22">
        <v>5980</v>
      </c>
      <c r="AW299" s="24" t="s">
        <v>54</v>
      </c>
      <c r="AX299" s="25">
        <v>45789</v>
      </c>
      <c r="AY299" s="15"/>
      <c r="AZ299" s="26"/>
      <c r="BA299" s="27">
        <f t="shared" si="8"/>
        <v>0</v>
      </c>
      <c r="BB299" s="14"/>
      <c r="BC299" s="28"/>
    </row>
    <row r="300" spans="1:55" ht="28.8" x14ac:dyDescent="0.4">
      <c r="A300" s="15">
        <v>299</v>
      </c>
      <c r="B300" s="16">
        <v>80723</v>
      </c>
      <c r="C300" s="17" t="s">
        <v>481</v>
      </c>
      <c r="D300" s="16" t="s">
        <v>484</v>
      </c>
      <c r="E300" s="16" t="s">
        <v>504</v>
      </c>
      <c r="F300" s="16">
        <v>30</v>
      </c>
      <c r="G300" s="16">
        <v>29</v>
      </c>
      <c r="H300" s="18">
        <f t="shared" si="7"/>
        <v>1</v>
      </c>
      <c r="I300" s="19">
        <f t="shared" si="9"/>
        <v>533.33333333333337</v>
      </c>
      <c r="J300" s="16">
        <v>0</v>
      </c>
      <c r="K300" s="20">
        <v>0</v>
      </c>
      <c r="L300" s="21"/>
      <c r="M300" s="21"/>
      <c r="N300" s="16">
        <v>0</v>
      </c>
      <c r="O300" s="16">
        <v>0</v>
      </c>
      <c r="P300" s="16">
        <v>1</v>
      </c>
      <c r="Q300" s="16">
        <v>0</v>
      </c>
      <c r="R300" s="16">
        <v>0</v>
      </c>
      <c r="S300" s="22">
        <v>16000</v>
      </c>
      <c r="T300" s="19">
        <f t="shared" si="10"/>
        <v>0</v>
      </c>
      <c r="U300" s="19">
        <f t="shared" si="11"/>
        <v>15467</v>
      </c>
      <c r="V300" s="22">
        <v>15467</v>
      </c>
      <c r="W300" s="31">
        <v>0</v>
      </c>
      <c r="X300" s="22">
        <v>0</v>
      </c>
      <c r="Y300" s="22">
        <v>0</v>
      </c>
      <c r="Z300" s="22">
        <v>0</v>
      </c>
      <c r="AA300" s="22">
        <v>0</v>
      </c>
      <c r="AB300" s="22">
        <v>0</v>
      </c>
      <c r="AC300" s="22">
        <v>0</v>
      </c>
      <c r="AD300" s="22">
        <v>0</v>
      </c>
      <c r="AE300" s="22">
        <v>0</v>
      </c>
      <c r="AF300" s="22">
        <v>3000</v>
      </c>
      <c r="AG300" s="22">
        <v>0</v>
      </c>
      <c r="AH300" s="22">
        <v>0</v>
      </c>
      <c r="AI300" s="22">
        <v>1015</v>
      </c>
      <c r="AJ300" s="22">
        <v>0</v>
      </c>
      <c r="AK300" s="22">
        <v>0</v>
      </c>
      <c r="AL300" s="22">
        <v>0</v>
      </c>
      <c r="AM300" s="22">
        <v>0</v>
      </c>
      <c r="AN300" s="22">
        <v>0</v>
      </c>
      <c r="AO300" s="22">
        <v>0</v>
      </c>
      <c r="AP300" s="22">
        <v>0</v>
      </c>
      <c r="AQ300" s="22">
        <v>0</v>
      </c>
      <c r="AR300" s="22">
        <v>0</v>
      </c>
      <c r="AS300" s="22">
        <v>0</v>
      </c>
      <c r="AT300" s="22">
        <v>0</v>
      </c>
      <c r="AU300" s="19">
        <f t="shared" si="12"/>
        <v>4015</v>
      </c>
      <c r="AV300" s="22">
        <f>12466.67-1015</f>
        <v>11451.67</v>
      </c>
      <c r="AW300" s="24" t="s">
        <v>54</v>
      </c>
      <c r="AX300" s="25">
        <v>45790</v>
      </c>
      <c r="AY300" s="15"/>
      <c r="AZ300" s="26"/>
      <c r="BA300" s="27">
        <f t="shared" si="8"/>
        <v>-3.3333333321934333E-3</v>
      </c>
      <c r="BB300" s="14"/>
      <c r="BC300" s="28"/>
    </row>
    <row r="301" spans="1:55" ht="28.8" x14ac:dyDescent="0.4">
      <c r="A301" s="15">
        <v>300</v>
      </c>
      <c r="B301" s="36">
        <v>80578</v>
      </c>
      <c r="C301" s="37" t="s">
        <v>505</v>
      </c>
      <c r="D301" s="36" t="s">
        <v>484</v>
      </c>
      <c r="E301" s="36" t="s">
        <v>506</v>
      </c>
      <c r="F301" s="16">
        <v>30</v>
      </c>
      <c r="G301" s="16">
        <v>30</v>
      </c>
      <c r="H301" s="18">
        <f t="shared" si="7"/>
        <v>0</v>
      </c>
      <c r="I301" s="19">
        <f t="shared" si="9"/>
        <v>0</v>
      </c>
      <c r="J301" s="16">
        <v>0</v>
      </c>
      <c r="K301" s="20">
        <v>0</v>
      </c>
      <c r="L301" s="21"/>
      <c r="M301" s="21"/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22">
        <v>16000</v>
      </c>
      <c r="T301" s="19">
        <f t="shared" si="10"/>
        <v>0</v>
      </c>
      <c r="U301" s="19">
        <f t="shared" si="11"/>
        <v>16000</v>
      </c>
      <c r="V301" s="22">
        <v>16000</v>
      </c>
      <c r="W301" s="31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0</v>
      </c>
      <c r="AE301" s="22">
        <v>0</v>
      </c>
      <c r="AF301" s="22">
        <v>0</v>
      </c>
      <c r="AG301" s="22">
        <v>0</v>
      </c>
      <c r="AH301" s="22">
        <v>0</v>
      </c>
      <c r="AI301" s="22">
        <v>1050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22">
        <v>0</v>
      </c>
      <c r="AU301" s="19">
        <f t="shared" si="12"/>
        <v>1050</v>
      </c>
      <c r="AV301" s="41">
        <f>12493.33+2457</f>
        <v>14950.33</v>
      </c>
      <c r="AW301" s="24" t="s">
        <v>54</v>
      </c>
      <c r="AX301" s="34"/>
      <c r="AY301" s="15"/>
      <c r="AZ301" s="26"/>
      <c r="BA301" s="27">
        <f t="shared" si="8"/>
        <v>-0.32999999999810825</v>
      </c>
      <c r="BB301" s="14"/>
      <c r="BC301" s="28"/>
    </row>
    <row r="302" spans="1:55" ht="28.8" x14ac:dyDescent="0.4">
      <c r="A302" s="15">
        <v>301</v>
      </c>
      <c r="B302" s="36">
        <v>80645</v>
      </c>
      <c r="C302" s="37" t="s">
        <v>505</v>
      </c>
      <c r="D302" s="36" t="s">
        <v>221</v>
      </c>
      <c r="E302" s="36" t="s">
        <v>507</v>
      </c>
      <c r="F302" s="16">
        <v>30</v>
      </c>
      <c r="G302" s="16">
        <v>30</v>
      </c>
      <c r="H302" s="18">
        <f t="shared" si="7"/>
        <v>0</v>
      </c>
      <c r="I302" s="19">
        <f t="shared" si="9"/>
        <v>0</v>
      </c>
      <c r="J302" s="16">
        <v>0</v>
      </c>
      <c r="K302" s="20">
        <v>0</v>
      </c>
      <c r="L302" s="21"/>
      <c r="M302" s="21"/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32">
        <v>20000</v>
      </c>
      <c r="T302" s="19">
        <f t="shared" si="10"/>
        <v>0</v>
      </c>
      <c r="U302" s="19">
        <f t="shared" si="11"/>
        <v>20000</v>
      </c>
      <c r="V302" s="22">
        <v>20000</v>
      </c>
      <c r="W302" s="31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525</v>
      </c>
      <c r="AD302" s="22">
        <v>0</v>
      </c>
      <c r="AE302" s="22">
        <v>0</v>
      </c>
      <c r="AF302" s="22">
        <v>2000</v>
      </c>
      <c r="AG302" s="22">
        <v>0</v>
      </c>
      <c r="AH302" s="22">
        <v>0</v>
      </c>
      <c r="AI302" s="22">
        <v>1050</v>
      </c>
      <c r="AJ302" s="22">
        <v>0</v>
      </c>
      <c r="AK302" s="22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19">
        <f t="shared" si="12"/>
        <v>3575</v>
      </c>
      <c r="AV302" s="41">
        <f>23333.33-6908</f>
        <v>16425.330000000002</v>
      </c>
      <c r="AW302" s="24" t="s">
        <v>54</v>
      </c>
      <c r="AX302" s="34"/>
      <c r="AY302" s="15"/>
      <c r="AZ302" s="26"/>
      <c r="BA302" s="27">
        <f t="shared" si="8"/>
        <v>-0.33000000000174623</v>
      </c>
      <c r="BB302" s="14"/>
      <c r="BC302" s="28"/>
    </row>
    <row r="303" spans="1:55" ht="21" x14ac:dyDescent="0.4">
      <c r="A303" s="15">
        <v>302</v>
      </c>
      <c r="B303" s="16">
        <v>30014</v>
      </c>
      <c r="C303" s="17" t="s">
        <v>505</v>
      </c>
      <c r="D303" s="16" t="s">
        <v>280</v>
      </c>
      <c r="E303" s="16" t="s">
        <v>508</v>
      </c>
      <c r="F303" s="16">
        <v>30</v>
      </c>
      <c r="G303" s="16">
        <v>22</v>
      </c>
      <c r="H303" s="18">
        <f t="shared" si="7"/>
        <v>8</v>
      </c>
      <c r="I303" s="19">
        <f t="shared" si="9"/>
        <v>6666.666666666667</v>
      </c>
      <c r="J303" s="16">
        <v>0</v>
      </c>
      <c r="K303" s="20">
        <v>0</v>
      </c>
      <c r="L303" s="21"/>
      <c r="M303" s="21"/>
      <c r="N303" s="16">
        <v>0</v>
      </c>
      <c r="O303" s="16">
        <v>0</v>
      </c>
      <c r="P303" s="16">
        <v>4</v>
      </c>
      <c r="Q303" s="16">
        <v>0</v>
      </c>
      <c r="R303" s="16">
        <v>4</v>
      </c>
      <c r="S303" s="22">
        <v>25000</v>
      </c>
      <c r="T303" s="19">
        <f t="shared" si="10"/>
        <v>0</v>
      </c>
      <c r="U303" s="19">
        <f t="shared" si="11"/>
        <v>18333</v>
      </c>
      <c r="V303" s="22">
        <v>18333</v>
      </c>
      <c r="W303" s="31">
        <v>0</v>
      </c>
      <c r="X303" s="22">
        <v>0</v>
      </c>
      <c r="Y303" s="22">
        <v>0</v>
      </c>
      <c r="Z303" s="22">
        <v>0</v>
      </c>
      <c r="AA303" s="22">
        <v>0</v>
      </c>
      <c r="AB303" s="22">
        <v>0</v>
      </c>
      <c r="AC303" s="22">
        <v>3034</v>
      </c>
      <c r="AD303" s="22">
        <v>0</v>
      </c>
      <c r="AE303" s="22">
        <v>0</v>
      </c>
      <c r="AF303" s="22">
        <v>2000</v>
      </c>
      <c r="AG303" s="22">
        <v>0</v>
      </c>
      <c r="AH303" s="22">
        <v>0</v>
      </c>
      <c r="AI303" s="22">
        <v>770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19">
        <f t="shared" si="12"/>
        <v>5804</v>
      </c>
      <c r="AV303" s="22">
        <v>12529</v>
      </c>
      <c r="AW303" s="24" t="s">
        <v>54</v>
      </c>
      <c r="AX303" s="25">
        <v>45790</v>
      </c>
      <c r="AY303" s="15"/>
      <c r="AZ303" s="26"/>
      <c r="BA303" s="27">
        <f t="shared" si="8"/>
        <v>0.33333333333575865</v>
      </c>
      <c r="BB303" s="14"/>
      <c r="BC303" s="28"/>
    </row>
    <row r="304" spans="1:55" ht="21" x14ac:dyDescent="0.4">
      <c r="A304" s="15">
        <v>303</v>
      </c>
      <c r="B304" s="16">
        <v>32130</v>
      </c>
      <c r="C304" s="17" t="s">
        <v>505</v>
      </c>
      <c r="D304" s="16" t="s">
        <v>280</v>
      </c>
      <c r="E304" s="16" t="s">
        <v>509</v>
      </c>
      <c r="F304" s="16">
        <v>30</v>
      </c>
      <c r="G304" s="16">
        <v>29</v>
      </c>
      <c r="H304" s="18">
        <f t="shared" si="7"/>
        <v>1</v>
      </c>
      <c r="I304" s="19">
        <f t="shared" si="9"/>
        <v>833.33333333333337</v>
      </c>
      <c r="J304" s="16">
        <v>0</v>
      </c>
      <c r="K304" s="20">
        <v>0</v>
      </c>
      <c r="L304" s="21"/>
      <c r="M304" s="21"/>
      <c r="N304" s="16">
        <v>0</v>
      </c>
      <c r="O304" s="16">
        <v>0</v>
      </c>
      <c r="P304" s="16">
        <v>1</v>
      </c>
      <c r="Q304" s="16">
        <v>0</v>
      </c>
      <c r="R304" s="16">
        <v>0</v>
      </c>
      <c r="S304" s="22">
        <v>25000</v>
      </c>
      <c r="T304" s="19">
        <f t="shared" si="10"/>
        <v>0</v>
      </c>
      <c r="U304" s="19">
        <f t="shared" si="11"/>
        <v>24167</v>
      </c>
      <c r="V304" s="22">
        <v>24167</v>
      </c>
      <c r="W304" s="31">
        <v>0</v>
      </c>
      <c r="X304" s="22">
        <v>0</v>
      </c>
      <c r="Y304" s="22">
        <v>0</v>
      </c>
      <c r="Z304" s="22">
        <v>0</v>
      </c>
      <c r="AA304" s="22">
        <v>0</v>
      </c>
      <c r="AB304" s="22">
        <v>0</v>
      </c>
      <c r="AC304" s="22">
        <v>0</v>
      </c>
      <c r="AD304" s="22">
        <v>0</v>
      </c>
      <c r="AE304" s="22">
        <v>0</v>
      </c>
      <c r="AF304" s="22">
        <v>4000</v>
      </c>
      <c r="AG304" s="22">
        <v>0</v>
      </c>
      <c r="AH304" s="22">
        <v>0</v>
      </c>
      <c r="AI304" s="22">
        <v>1015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19">
        <f t="shared" si="12"/>
        <v>5015</v>
      </c>
      <c r="AV304" s="22">
        <v>19152</v>
      </c>
      <c r="AW304" s="24" t="s">
        <v>54</v>
      </c>
      <c r="AX304" s="25">
        <v>45789</v>
      </c>
      <c r="AY304" s="15"/>
      <c r="AZ304" s="26"/>
      <c r="BA304" s="27">
        <f t="shared" si="8"/>
        <v>-0.33333333333212067</v>
      </c>
      <c r="BB304" s="14"/>
      <c r="BC304" s="28"/>
    </row>
    <row r="305" spans="1:55" ht="21" x14ac:dyDescent="0.4">
      <c r="A305" s="15">
        <v>304</v>
      </c>
      <c r="B305" s="16">
        <v>27207</v>
      </c>
      <c r="C305" s="17" t="s">
        <v>505</v>
      </c>
      <c r="D305" s="16" t="s">
        <v>212</v>
      </c>
      <c r="E305" s="16" t="s">
        <v>510</v>
      </c>
      <c r="F305" s="16">
        <v>30</v>
      </c>
      <c r="G305" s="16">
        <v>30</v>
      </c>
      <c r="H305" s="18">
        <f t="shared" si="7"/>
        <v>0</v>
      </c>
      <c r="I305" s="19">
        <f t="shared" si="9"/>
        <v>0</v>
      </c>
      <c r="J305" s="16">
        <v>0</v>
      </c>
      <c r="K305" s="20">
        <v>0</v>
      </c>
      <c r="L305" s="21"/>
      <c r="M305" s="21"/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32">
        <v>25000</v>
      </c>
      <c r="T305" s="19">
        <f t="shared" si="10"/>
        <v>0</v>
      </c>
      <c r="U305" s="19">
        <f t="shared" si="11"/>
        <v>25000</v>
      </c>
      <c r="V305" s="22">
        <v>25000</v>
      </c>
      <c r="W305" s="31">
        <v>0</v>
      </c>
      <c r="X305" s="22">
        <v>0</v>
      </c>
      <c r="Y305" s="22">
        <v>0</v>
      </c>
      <c r="Z305" s="22">
        <v>0</v>
      </c>
      <c r="AA305" s="22">
        <v>0</v>
      </c>
      <c r="AB305" s="22">
        <v>0</v>
      </c>
      <c r="AC305" s="22">
        <v>0</v>
      </c>
      <c r="AD305" s="22">
        <v>0</v>
      </c>
      <c r="AE305" s="22">
        <v>0</v>
      </c>
      <c r="AF305" s="22">
        <v>0</v>
      </c>
      <c r="AG305" s="22">
        <v>0</v>
      </c>
      <c r="AH305" s="22">
        <v>0</v>
      </c>
      <c r="AI305" s="22">
        <v>1050</v>
      </c>
      <c r="AJ305" s="22">
        <v>0</v>
      </c>
      <c r="AK305" s="22">
        <v>0</v>
      </c>
      <c r="AL305" s="22">
        <v>0</v>
      </c>
      <c r="AM305" s="22">
        <v>0</v>
      </c>
      <c r="AN305" s="22">
        <v>0</v>
      </c>
      <c r="AO305" s="22">
        <v>0</v>
      </c>
      <c r="AP305" s="22">
        <v>0</v>
      </c>
      <c r="AQ305" s="22">
        <v>0</v>
      </c>
      <c r="AR305" s="22">
        <v>0</v>
      </c>
      <c r="AS305" s="22">
        <v>0</v>
      </c>
      <c r="AT305" s="22">
        <v>0</v>
      </c>
      <c r="AU305" s="19">
        <f t="shared" si="12"/>
        <v>1050</v>
      </c>
      <c r="AV305" s="22">
        <v>23950</v>
      </c>
      <c r="AW305" s="24" t="s">
        <v>54</v>
      </c>
      <c r="AX305" s="25">
        <v>45789</v>
      </c>
      <c r="AY305" s="15"/>
      <c r="AZ305" s="26"/>
      <c r="BA305" s="27">
        <f t="shared" si="8"/>
        <v>0</v>
      </c>
      <c r="BB305" s="14"/>
      <c r="BC305" s="28"/>
    </row>
    <row r="306" spans="1:55" ht="28.8" x14ac:dyDescent="0.4">
      <c r="A306" s="15">
        <v>305</v>
      </c>
      <c r="B306" s="16">
        <v>80472</v>
      </c>
      <c r="C306" s="17" t="s">
        <v>505</v>
      </c>
      <c r="D306" s="16" t="s">
        <v>229</v>
      </c>
      <c r="E306" s="16" t="s">
        <v>511</v>
      </c>
      <c r="F306" s="16">
        <v>30</v>
      </c>
      <c r="G306" s="16">
        <v>29</v>
      </c>
      <c r="H306" s="18">
        <f t="shared" si="7"/>
        <v>1</v>
      </c>
      <c r="I306" s="19">
        <f t="shared" si="9"/>
        <v>533.33333333333337</v>
      </c>
      <c r="J306" s="16">
        <v>0</v>
      </c>
      <c r="K306" s="20">
        <v>0</v>
      </c>
      <c r="L306" s="21"/>
      <c r="M306" s="21"/>
      <c r="N306" s="16">
        <v>0</v>
      </c>
      <c r="O306" s="16">
        <v>0</v>
      </c>
      <c r="P306" s="16">
        <v>1</v>
      </c>
      <c r="Q306" s="16">
        <v>0</v>
      </c>
      <c r="R306" s="16">
        <v>0</v>
      </c>
      <c r="S306" s="22">
        <v>16000</v>
      </c>
      <c r="T306" s="19">
        <f t="shared" si="10"/>
        <v>0</v>
      </c>
      <c r="U306" s="19">
        <f t="shared" si="11"/>
        <v>15467</v>
      </c>
      <c r="V306" s="22">
        <v>15467</v>
      </c>
      <c r="W306" s="31">
        <v>0</v>
      </c>
      <c r="X306" s="22">
        <v>0</v>
      </c>
      <c r="Y306" s="22">
        <v>0</v>
      </c>
      <c r="Z306" s="22">
        <v>0</v>
      </c>
      <c r="AA306" s="22">
        <v>0</v>
      </c>
      <c r="AB306" s="22">
        <v>0</v>
      </c>
      <c r="AC306" s="22">
        <v>0</v>
      </c>
      <c r="AD306" s="22">
        <v>0</v>
      </c>
      <c r="AE306" s="22">
        <v>0</v>
      </c>
      <c r="AF306" s="22">
        <v>0</v>
      </c>
      <c r="AG306" s="22">
        <v>0</v>
      </c>
      <c r="AH306" s="22">
        <v>0</v>
      </c>
      <c r="AI306" s="22">
        <v>1015</v>
      </c>
      <c r="AJ306" s="22">
        <v>0</v>
      </c>
      <c r="AK306" s="22">
        <v>0</v>
      </c>
      <c r="AL306" s="22">
        <v>0</v>
      </c>
      <c r="AM306" s="22">
        <v>0</v>
      </c>
      <c r="AN306" s="22">
        <v>0</v>
      </c>
      <c r="AO306" s="22">
        <v>0</v>
      </c>
      <c r="AP306" s="22">
        <v>0</v>
      </c>
      <c r="AQ306" s="22">
        <v>0</v>
      </c>
      <c r="AR306" s="22">
        <v>0</v>
      </c>
      <c r="AS306" s="22">
        <v>0</v>
      </c>
      <c r="AT306" s="22">
        <v>0</v>
      </c>
      <c r="AU306" s="19">
        <f t="shared" si="12"/>
        <v>1015</v>
      </c>
      <c r="AV306" s="22">
        <v>14452</v>
      </c>
      <c r="AW306" s="24" t="s">
        <v>54</v>
      </c>
      <c r="AX306" s="25">
        <v>45789</v>
      </c>
      <c r="AY306" s="15"/>
      <c r="AZ306" s="26"/>
      <c r="BA306" s="27">
        <f t="shared" si="8"/>
        <v>-0.33333333333212067</v>
      </c>
      <c r="BB306" s="14"/>
      <c r="BC306" s="28"/>
    </row>
    <row r="307" spans="1:55" ht="21" x14ac:dyDescent="0.4">
      <c r="A307" s="15">
        <v>306</v>
      </c>
      <c r="B307" s="16">
        <v>80479</v>
      </c>
      <c r="C307" s="17" t="s">
        <v>505</v>
      </c>
      <c r="D307" s="16" t="s">
        <v>229</v>
      </c>
      <c r="E307" s="16" t="s">
        <v>512</v>
      </c>
      <c r="F307" s="16">
        <v>30</v>
      </c>
      <c r="G307" s="16">
        <v>4</v>
      </c>
      <c r="H307" s="18">
        <f t="shared" si="7"/>
        <v>26</v>
      </c>
      <c r="I307" s="19">
        <f t="shared" si="9"/>
        <v>13866.666666666668</v>
      </c>
      <c r="J307" s="16">
        <v>0</v>
      </c>
      <c r="K307" s="20">
        <v>0</v>
      </c>
      <c r="L307" s="21"/>
      <c r="M307" s="21"/>
      <c r="N307" s="16">
        <v>0</v>
      </c>
      <c r="O307" s="16">
        <v>0</v>
      </c>
      <c r="P307" s="16">
        <v>0</v>
      </c>
      <c r="Q307" s="16">
        <v>0</v>
      </c>
      <c r="R307" s="16">
        <v>26</v>
      </c>
      <c r="S307" s="22">
        <v>16000</v>
      </c>
      <c r="T307" s="19">
        <f t="shared" si="10"/>
        <v>0</v>
      </c>
      <c r="U307" s="19">
        <f t="shared" si="11"/>
        <v>2133</v>
      </c>
      <c r="V307" s="22">
        <v>2133</v>
      </c>
      <c r="W307" s="31">
        <v>0</v>
      </c>
      <c r="X307" s="22">
        <v>0</v>
      </c>
      <c r="Y307" s="22">
        <v>0</v>
      </c>
      <c r="Z307" s="22">
        <v>0</v>
      </c>
      <c r="AA307" s="22">
        <v>0</v>
      </c>
      <c r="AB307" s="22">
        <v>0</v>
      </c>
      <c r="AC307" s="22">
        <v>0</v>
      </c>
      <c r="AD307" s="22">
        <v>0</v>
      </c>
      <c r="AE307" s="22">
        <v>0</v>
      </c>
      <c r="AF307" s="22">
        <v>0</v>
      </c>
      <c r="AG307" s="22">
        <v>0</v>
      </c>
      <c r="AH307" s="22">
        <v>0</v>
      </c>
      <c r="AI307" s="22">
        <v>140</v>
      </c>
      <c r="AJ307" s="22">
        <v>0</v>
      </c>
      <c r="AK307" s="22">
        <v>0</v>
      </c>
      <c r="AL307" s="22">
        <v>0</v>
      </c>
      <c r="AM307" s="22">
        <v>0</v>
      </c>
      <c r="AN307" s="22">
        <v>0</v>
      </c>
      <c r="AO307" s="22">
        <v>0</v>
      </c>
      <c r="AP307" s="22">
        <v>0</v>
      </c>
      <c r="AQ307" s="22">
        <v>0</v>
      </c>
      <c r="AR307" s="22">
        <v>0</v>
      </c>
      <c r="AS307" s="22">
        <v>0</v>
      </c>
      <c r="AT307" s="22">
        <v>0</v>
      </c>
      <c r="AU307" s="19">
        <f t="shared" si="12"/>
        <v>140</v>
      </c>
      <c r="AV307" s="22">
        <f>1853+140</f>
        <v>1993</v>
      </c>
      <c r="AW307" s="24"/>
      <c r="AX307" s="34"/>
      <c r="AY307" s="15"/>
      <c r="AZ307" s="26"/>
      <c r="BA307" s="27">
        <f t="shared" si="8"/>
        <v>0.33333333333348492</v>
      </c>
      <c r="BB307" s="14"/>
      <c r="BC307" s="28"/>
    </row>
    <row r="308" spans="1:55" ht="21" x14ac:dyDescent="0.4">
      <c r="A308" s="15">
        <v>307</v>
      </c>
      <c r="B308" s="16">
        <v>80704</v>
      </c>
      <c r="C308" s="17" t="s">
        <v>505</v>
      </c>
      <c r="D308" s="16" t="s">
        <v>484</v>
      </c>
      <c r="E308" s="16" t="s">
        <v>513</v>
      </c>
      <c r="F308" s="16">
        <v>30</v>
      </c>
      <c r="G308" s="16">
        <v>14</v>
      </c>
      <c r="H308" s="18">
        <f t="shared" si="7"/>
        <v>16</v>
      </c>
      <c r="I308" s="19">
        <f t="shared" si="9"/>
        <v>8533.3333333333339</v>
      </c>
      <c r="J308" s="16">
        <v>0</v>
      </c>
      <c r="K308" s="20">
        <v>0</v>
      </c>
      <c r="L308" s="21"/>
      <c r="M308" s="21"/>
      <c r="N308" s="16">
        <v>0</v>
      </c>
      <c r="O308" s="16">
        <v>0</v>
      </c>
      <c r="P308" s="16">
        <v>0</v>
      </c>
      <c r="Q308" s="16">
        <v>0</v>
      </c>
      <c r="R308" s="16">
        <v>16</v>
      </c>
      <c r="S308" s="22">
        <v>16000</v>
      </c>
      <c r="T308" s="19">
        <f t="shared" si="10"/>
        <v>0</v>
      </c>
      <c r="U308" s="19">
        <f t="shared" si="11"/>
        <v>7467</v>
      </c>
      <c r="V308" s="22">
        <v>7467</v>
      </c>
      <c r="W308" s="31">
        <v>0</v>
      </c>
      <c r="X308" s="22">
        <v>0</v>
      </c>
      <c r="Y308" s="22">
        <v>0</v>
      </c>
      <c r="Z308" s="22">
        <v>0</v>
      </c>
      <c r="AA308" s="22">
        <v>0</v>
      </c>
      <c r="AB308" s="22">
        <v>0</v>
      </c>
      <c r="AC308" s="22">
        <v>0</v>
      </c>
      <c r="AD308" s="22">
        <v>0</v>
      </c>
      <c r="AE308" s="22">
        <v>0</v>
      </c>
      <c r="AF308" s="22">
        <v>0</v>
      </c>
      <c r="AG308" s="22">
        <v>0</v>
      </c>
      <c r="AH308" s="22">
        <v>0</v>
      </c>
      <c r="AI308" s="22">
        <v>490</v>
      </c>
      <c r="AJ308" s="22">
        <v>0</v>
      </c>
      <c r="AK308" s="22">
        <v>0</v>
      </c>
      <c r="AL308" s="22">
        <v>0</v>
      </c>
      <c r="AM308" s="22">
        <v>0</v>
      </c>
      <c r="AN308" s="22">
        <v>0</v>
      </c>
      <c r="AO308" s="22">
        <v>0</v>
      </c>
      <c r="AP308" s="22">
        <v>0</v>
      </c>
      <c r="AQ308" s="22">
        <v>0</v>
      </c>
      <c r="AR308" s="22">
        <v>0</v>
      </c>
      <c r="AS308" s="22">
        <v>0</v>
      </c>
      <c r="AT308" s="22">
        <v>0</v>
      </c>
      <c r="AU308" s="19">
        <f t="shared" si="12"/>
        <v>490</v>
      </c>
      <c r="AV308" s="22">
        <v>6977</v>
      </c>
      <c r="AW308" s="24"/>
      <c r="AX308" s="34" t="s">
        <v>514</v>
      </c>
      <c r="AY308" s="15" t="s">
        <v>515</v>
      </c>
      <c r="AZ308" s="26"/>
      <c r="BA308" s="27">
        <f t="shared" si="8"/>
        <v>-0.33333333333303017</v>
      </c>
      <c r="BB308" s="14"/>
      <c r="BC308" s="28"/>
    </row>
    <row r="309" spans="1:55" ht="28.8" x14ac:dyDescent="0.4">
      <c r="A309" s="15">
        <v>308</v>
      </c>
      <c r="B309" s="16">
        <v>80543</v>
      </c>
      <c r="C309" s="17" t="s">
        <v>505</v>
      </c>
      <c r="D309" s="16" t="s">
        <v>484</v>
      </c>
      <c r="E309" s="16" t="s">
        <v>516</v>
      </c>
      <c r="F309" s="16">
        <v>30</v>
      </c>
      <c r="G309" s="16">
        <v>30</v>
      </c>
      <c r="H309" s="18">
        <f t="shared" si="7"/>
        <v>0</v>
      </c>
      <c r="I309" s="19">
        <f t="shared" si="9"/>
        <v>0</v>
      </c>
      <c r="J309" s="16">
        <v>0</v>
      </c>
      <c r="K309" s="20">
        <v>0</v>
      </c>
      <c r="L309" s="21"/>
      <c r="M309" s="21"/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22">
        <v>16000</v>
      </c>
      <c r="T309" s="19">
        <f t="shared" si="10"/>
        <v>0</v>
      </c>
      <c r="U309" s="19">
        <f t="shared" si="11"/>
        <v>16000</v>
      </c>
      <c r="V309" s="22">
        <v>16000</v>
      </c>
      <c r="W309" s="31">
        <v>0</v>
      </c>
      <c r="X309" s="22">
        <v>0</v>
      </c>
      <c r="Y309" s="22">
        <v>0</v>
      </c>
      <c r="Z309" s="22">
        <v>0</v>
      </c>
      <c r="AA309" s="22">
        <v>0</v>
      </c>
      <c r="AB309" s="22">
        <v>0</v>
      </c>
      <c r="AC309" s="22">
        <v>0</v>
      </c>
      <c r="AD309" s="22">
        <v>0</v>
      </c>
      <c r="AE309" s="22">
        <v>0</v>
      </c>
      <c r="AF309" s="22">
        <v>0</v>
      </c>
      <c r="AG309" s="22">
        <v>0</v>
      </c>
      <c r="AH309" s="22">
        <v>0</v>
      </c>
      <c r="AI309" s="22">
        <v>1050</v>
      </c>
      <c r="AJ309" s="22">
        <v>0</v>
      </c>
      <c r="AK309" s="22">
        <v>0</v>
      </c>
      <c r="AL309" s="22">
        <v>0</v>
      </c>
      <c r="AM309" s="22">
        <v>0</v>
      </c>
      <c r="AN309" s="22">
        <v>0</v>
      </c>
      <c r="AO309" s="22">
        <v>0</v>
      </c>
      <c r="AP309" s="22">
        <v>0</v>
      </c>
      <c r="AQ309" s="22">
        <v>0</v>
      </c>
      <c r="AR309" s="22">
        <v>0</v>
      </c>
      <c r="AS309" s="22">
        <v>0</v>
      </c>
      <c r="AT309" s="22">
        <v>0</v>
      </c>
      <c r="AU309" s="19">
        <f t="shared" si="12"/>
        <v>1050</v>
      </c>
      <c r="AV309" s="22">
        <v>14950</v>
      </c>
      <c r="AW309" s="24" t="s">
        <v>54</v>
      </c>
      <c r="AX309" s="25">
        <v>45789</v>
      </c>
      <c r="AY309" s="15"/>
      <c r="AZ309" s="26"/>
      <c r="BA309" s="27">
        <f t="shared" si="8"/>
        <v>1.8189894035458565E-12</v>
      </c>
      <c r="BB309" s="14"/>
      <c r="BC309" s="28"/>
    </row>
    <row r="310" spans="1:55" ht="42.6" x14ac:dyDescent="0.4">
      <c r="A310" s="15">
        <v>309</v>
      </c>
      <c r="B310" s="16">
        <v>80544</v>
      </c>
      <c r="C310" s="17" t="s">
        <v>505</v>
      </c>
      <c r="D310" s="16" t="s">
        <v>221</v>
      </c>
      <c r="E310" s="16" t="s">
        <v>517</v>
      </c>
      <c r="F310" s="16">
        <v>30</v>
      </c>
      <c r="G310" s="16">
        <v>30</v>
      </c>
      <c r="H310" s="18">
        <f t="shared" si="7"/>
        <v>0</v>
      </c>
      <c r="I310" s="19">
        <f t="shared" si="9"/>
        <v>0</v>
      </c>
      <c r="J310" s="16">
        <v>0</v>
      </c>
      <c r="K310" s="20">
        <v>0</v>
      </c>
      <c r="L310" s="21"/>
      <c r="M310" s="21"/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32">
        <v>22000</v>
      </c>
      <c r="T310" s="19">
        <f t="shared" si="10"/>
        <v>0</v>
      </c>
      <c r="U310" s="19">
        <f t="shared" si="11"/>
        <v>22000</v>
      </c>
      <c r="V310" s="22">
        <v>22000</v>
      </c>
      <c r="W310" s="31">
        <v>0</v>
      </c>
      <c r="X310" s="22">
        <v>0</v>
      </c>
      <c r="Y310" s="22">
        <v>0</v>
      </c>
      <c r="Z310" s="22">
        <v>0</v>
      </c>
      <c r="AA310" s="22">
        <v>0</v>
      </c>
      <c r="AB310" s="22">
        <v>0</v>
      </c>
      <c r="AC310" s="22">
        <v>0</v>
      </c>
      <c r="AD310" s="22">
        <v>0</v>
      </c>
      <c r="AE310" s="22">
        <v>0</v>
      </c>
      <c r="AF310" s="22">
        <v>1000</v>
      </c>
      <c r="AG310" s="22">
        <v>0</v>
      </c>
      <c r="AH310" s="22">
        <v>0</v>
      </c>
      <c r="AI310" s="22">
        <v>1050</v>
      </c>
      <c r="AJ310" s="22">
        <v>0</v>
      </c>
      <c r="AK310" s="22">
        <v>0</v>
      </c>
      <c r="AL310" s="22">
        <v>0</v>
      </c>
      <c r="AM310" s="22">
        <v>0</v>
      </c>
      <c r="AN310" s="22">
        <v>0</v>
      </c>
      <c r="AO310" s="22">
        <v>0</v>
      </c>
      <c r="AP310" s="22">
        <v>0</v>
      </c>
      <c r="AQ310" s="22">
        <v>0</v>
      </c>
      <c r="AR310" s="22">
        <v>0</v>
      </c>
      <c r="AS310" s="22">
        <v>0</v>
      </c>
      <c r="AT310" s="22">
        <v>0</v>
      </c>
      <c r="AU310" s="19">
        <f t="shared" si="12"/>
        <v>2050</v>
      </c>
      <c r="AV310" s="22">
        <v>19950</v>
      </c>
      <c r="AW310" s="24" t="s">
        <v>54</v>
      </c>
      <c r="AX310" s="25">
        <v>45789</v>
      </c>
      <c r="AY310" s="15"/>
      <c r="AZ310" s="26"/>
      <c r="BA310" s="27">
        <f t="shared" si="8"/>
        <v>0</v>
      </c>
      <c r="BB310" s="14"/>
      <c r="BC310" s="28"/>
    </row>
    <row r="311" spans="1:55" ht="21" x14ac:dyDescent="0.4">
      <c r="A311" s="15">
        <v>310</v>
      </c>
      <c r="B311" s="16">
        <v>80547</v>
      </c>
      <c r="C311" s="17" t="s">
        <v>505</v>
      </c>
      <c r="D311" s="16" t="s">
        <v>221</v>
      </c>
      <c r="E311" s="16" t="s">
        <v>518</v>
      </c>
      <c r="F311" s="16">
        <v>30</v>
      </c>
      <c r="G311" s="16">
        <v>14</v>
      </c>
      <c r="H311" s="18">
        <f t="shared" si="7"/>
        <v>16</v>
      </c>
      <c r="I311" s="19">
        <f t="shared" si="9"/>
        <v>8533.3333333333339</v>
      </c>
      <c r="J311" s="16">
        <v>0</v>
      </c>
      <c r="K311" s="20">
        <v>0</v>
      </c>
      <c r="L311" s="21"/>
      <c r="M311" s="21"/>
      <c r="N311" s="16">
        <v>0</v>
      </c>
      <c r="O311" s="16">
        <v>0</v>
      </c>
      <c r="P311" s="16">
        <v>0</v>
      </c>
      <c r="Q311" s="16">
        <v>0</v>
      </c>
      <c r="R311" s="16">
        <v>16</v>
      </c>
      <c r="S311" s="22">
        <v>16000</v>
      </c>
      <c r="T311" s="19">
        <f t="shared" si="10"/>
        <v>0</v>
      </c>
      <c r="U311" s="19">
        <f t="shared" si="11"/>
        <v>7467</v>
      </c>
      <c r="V311" s="22">
        <v>7467</v>
      </c>
      <c r="W311" s="31">
        <v>0</v>
      </c>
      <c r="X311" s="22">
        <v>0</v>
      </c>
      <c r="Y311" s="22">
        <v>0</v>
      </c>
      <c r="Z311" s="22">
        <v>0</v>
      </c>
      <c r="AA311" s="22">
        <v>0</v>
      </c>
      <c r="AB311" s="22">
        <v>0</v>
      </c>
      <c r="AC311" s="22">
        <v>0</v>
      </c>
      <c r="AD311" s="22">
        <v>0</v>
      </c>
      <c r="AE311" s="22">
        <v>0</v>
      </c>
      <c r="AF311" s="22">
        <v>0</v>
      </c>
      <c r="AG311" s="22">
        <v>0</v>
      </c>
      <c r="AH311" s="22">
        <v>0</v>
      </c>
      <c r="AI311" s="22">
        <v>490</v>
      </c>
      <c r="AJ311" s="22">
        <v>6280</v>
      </c>
      <c r="AK311" s="22">
        <v>0</v>
      </c>
      <c r="AL311" s="22">
        <v>0</v>
      </c>
      <c r="AM311" s="22">
        <v>0</v>
      </c>
      <c r="AN311" s="22">
        <v>0</v>
      </c>
      <c r="AO311" s="22">
        <v>0</v>
      </c>
      <c r="AP311" s="22">
        <v>0</v>
      </c>
      <c r="AQ311" s="22">
        <v>0</v>
      </c>
      <c r="AR311" s="22">
        <v>0</v>
      </c>
      <c r="AS311" s="22">
        <v>0</v>
      </c>
      <c r="AT311" s="22">
        <v>0</v>
      </c>
      <c r="AU311" s="19">
        <f t="shared" si="12"/>
        <v>6770</v>
      </c>
      <c r="AV311" s="22">
        <v>697</v>
      </c>
      <c r="AW311" s="24"/>
      <c r="AX311" s="34"/>
      <c r="AY311" s="15"/>
      <c r="AZ311" s="26"/>
      <c r="BA311" s="27">
        <f t="shared" si="8"/>
        <v>-0.33333333333303017</v>
      </c>
      <c r="BB311" s="14"/>
      <c r="BC311" s="28"/>
    </row>
    <row r="312" spans="1:55" ht="28.8" x14ac:dyDescent="0.4">
      <c r="A312" s="15">
        <v>311</v>
      </c>
      <c r="B312" s="16">
        <v>80644</v>
      </c>
      <c r="C312" s="17" t="s">
        <v>505</v>
      </c>
      <c r="D312" s="16" t="s">
        <v>221</v>
      </c>
      <c r="E312" s="16" t="s">
        <v>519</v>
      </c>
      <c r="F312" s="16">
        <v>30</v>
      </c>
      <c r="G312" s="16">
        <v>30</v>
      </c>
      <c r="H312" s="18">
        <f t="shared" si="7"/>
        <v>0</v>
      </c>
      <c r="I312" s="19">
        <f t="shared" si="9"/>
        <v>0</v>
      </c>
      <c r="J312" s="16">
        <v>0</v>
      </c>
      <c r="K312" s="20">
        <v>0</v>
      </c>
      <c r="L312" s="21"/>
      <c r="M312" s="21"/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22">
        <v>16000</v>
      </c>
      <c r="T312" s="19">
        <f t="shared" si="10"/>
        <v>0</v>
      </c>
      <c r="U312" s="19">
        <f t="shared" si="11"/>
        <v>16000</v>
      </c>
      <c r="V312" s="22">
        <v>16000</v>
      </c>
      <c r="W312" s="31">
        <v>0</v>
      </c>
      <c r="X312" s="22">
        <v>0</v>
      </c>
      <c r="Y312" s="22">
        <v>0</v>
      </c>
      <c r="Z312" s="22">
        <v>0</v>
      </c>
      <c r="AA312" s="22">
        <v>0</v>
      </c>
      <c r="AB312" s="22">
        <v>0</v>
      </c>
      <c r="AC312" s="22">
        <v>0</v>
      </c>
      <c r="AD312" s="22">
        <v>0</v>
      </c>
      <c r="AE312" s="22">
        <v>0</v>
      </c>
      <c r="AF312" s="22">
        <v>0</v>
      </c>
      <c r="AG312" s="22">
        <v>0</v>
      </c>
      <c r="AH312" s="22">
        <v>0</v>
      </c>
      <c r="AI312" s="22">
        <v>1050</v>
      </c>
      <c r="AJ312" s="22">
        <v>0</v>
      </c>
      <c r="AK312" s="22">
        <v>0</v>
      </c>
      <c r="AL312" s="22">
        <v>0</v>
      </c>
      <c r="AM312" s="22">
        <v>0</v>
      </c>
      <c r="AN312" s="22">
        <v>0</v>
      </c>
      <c r="AO312" s="22">
        <v>0</v>
      </c>
      <c r="AP312" s="22">
        <v>0</v>
      </c>
      <c r="AQ312" s="22">
        <v>0</v>
      </c>
      <c r="AR312" s="22">
        <v>0</v>
      </c>
      <c r="AS312" s="22">
        <v>0</v>
      </c>
      <c r="AT312" s="22">
        <v>0</v>
      </c>
      <c r="AU312" s="19">
        <f t="shared" si="12"/>
        <v>1050</v>
      </c>
      <c r="AV312" s="22">
        <v>14950</v>
      </c>
      <c r="AW312" s="24" t="s">
        <v>54</v>
      </c>
      <c r="AX312" s="25">
        <v>45789</v>
      </c>
      <c r="AY312" s="15"/>
      <c r="AZ312" s="26"/>
      <c r="BA312" s="27">
        <f t="shared" si="8"/>
        <v>1.8189894035458565E-12</v>
      </c>
      <c r="BB312" s="14"/>
      <c r="BC312" s="28"/>
    </row>
    <row r="313" spans="1:55" ht="28.8" x14ac:dyDescent="0.4">
      <c r="A313" s="15">
        <v>312</v>
      </c>
      <c r="B313" s="16">
        <v>80691</v>
      </c>
      <c r="C313" s="17" t="s">
        <v>505</v>
      </c>
      <c r="D313" s="16" t="s">
        <v>419</v>
      </c>
      <c r="E313" s="16" t="s">
        <v>520</v>
      </c>
      <c r="F313" s="16">
        <v>30</v>
      </c>
      <c r="G313" s="16">
        <v>30</v>
      </c>
      <c r="H313" s="18">
        <f t="shared" si="7"/>
        <v>0</v>
      </c>
      <c r="I313" s="19">
        <f t="shared" si="9"/>
        <v>0</v>
      </c>
      <c r="J313" s="16">
        <v>0</v>
      </c>
      <c r="K313" s="20">
        <v>0</v>
      </c>
      <c r="L313" s="21"/>
      <c r="M313" s="21"/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22">
        <v>25000</v>
      </c>
      <c r="T313" s="19">
        <f t="shared" si="10"/>
        <v>0</v>
      </c>
      <c r="U313" s="19">
        <f t="shared" si="11"/>
        <v>25000</v>
      </c>
      <c r="V313" s="22">
        <v>25000</v>
      </c>
      <c r="W313" s="31">
        <v>0</v>
      </c>
      <c r="X313" s="22">
        <v>0</v>
      </c>
      <c r="Y313" s="22">
        <v>0</v>
      </c>
      <c r="Z313" s="22">
        <v>0</v>
      </c>
      <c r="AA313" s="22">
        <v>0</v>
      </c>
      <c r="AB313" s="22">
        <v>0</v>
      </c>
      <c r="AC313" s="22">
        <v>1000</v>
      </c>
      <c r="AD313" s="22">
        <v>0</v>
      </c>
      <c r="AE313" s="22">
        <v>0</v>
      </c>
      <c r="AF313" s="22">
        <v>0</v>
      </c>
      <c r="AG313" s="22">
        <v>0</v>
      </c>
      <c r="AH313" s="22">
        <v>0</v>
      </c>
      <c r="AI313" s="22">
        <v>1050</v>
      </c>
      <c r="AJ313" s="22">
        <v>0</v>
      </c>
      <c r="AK313" s="22">
        <v>0</v>
      </c>
      <c r="AL313" s="22">
        <v>0</v>
      </c>
      <c r="AM313" s="22">
        <v>0</v>
      </c>
      <c r="AN313" s="22">
        <v>0</v>
      </c>
      <c r="AO313" s="22">
        <v>0</v>
      </c>
      <c r="AP313" s="22">
        <v>0</v>
      </c>
      <c r="AQ313" s="22">
        <v>0</v>
      </c>
      <c r="AR313" s="22">
        <v>0</v>
      </c>
      <c r="AS313" s="22">
        <v>0</v>
      </c>
      <c r="AT313" s="22">
        <v>0</v>
      </c>
      <c r="AU313" s="19">
        <f t="shared" si="12"/>
        <v>2050</v>
      </c>
      <c r="AV313" s="22">
        <v>22950</v>
      </c>
      <c r="AW313" s="24" t="s">
        <v>54</v>
      </c>
      <c r="AX313" s="25">
        <v>45789</v>
      </c>
      <c r="AY313" s="15"/>
      <c r="AZ313" s="26"/>
      <c r="BA313" s="27">
        <f t="shared" si="8"/>
        <v>0</v>
      </c>
      <c r="BB313" s="14"/>
      <c r="BC313" s="28"/>
    </row>
    <row r="314" spans="1:55" ht="28.8" x14ac:dyDescent="0.4">
      <c r="A314" s="15">
        <v>313</v>
      </c>
      <c r="B314" s="16">
        <v>80700</v>
      </c>
      <c r="C314" s="17" t="s">
        <v>505</v>
      </c>
      <c r="D314" s="16" t="s">
        <v>221</v>
      </c>
      <c r="E314" s="16" t="s">
        <v>521</v>
      </c>
      <c r="F314" s="16">
        <v>30</v>
      </c>
      <c r="G314" s="16">
        <v>12</v>
      </c>
      <c r="H314" s="18">
        <f t="shared" si="7"/>
        <v>18</v>
      </c>
      <c r="I314" s="19">
        <f t="shared" si="9"/>
        <v>9600</v>
      </c>
      <c r="J314" s="16">
        <v>0</v>
      </c>
      <c r="K314" s="20">
        <v>0</v>
      </c>
      <c r="L314" s="21"/>
      <c r="M314" s="21"/>
      <c r="N314" s="16">
        <v>1</v>
      </c>
      <c r="O314" s="16">
        <v>0</v>
      </c>
      <c r="P314" s="16">
        <v>0</v>
      </c>
      <c r="Q314" s="16">
        <v>0</v>
      </c>
      <c r="R314" s="16">
        <v>17</v>
      </c>
      <c r="S314" s="22">
        <v>16000</v>
      </c>
      <c r="T314" s="19">
        <f t="shared" si="10"/>
        <v>0</v>
      </c>
      <c r="U314" s="19">
        <f t="shared" si="11"/>
        <v>6667</v>
      </c>
      <c r="V314" s="22">
        <v>6400</v>
      </c>
      <c r="W314" s="31">
        <v>0</v>
      </c>
      <c r="X314" s="22">
        <v>267</v>
      </c>
      <c r="Y314" s="22">
        <v>0</v>
      </c>
      <c r="Z314" s="22">
        <v>0</v>
      </c>
      <c r="AA314" s="22">
        <v>0</v>
      </c>
      <c r="AB314" s="22">
        <v>0</v>
      </c>
      <c r="AC314" s="22">
        <v>0</v>
      </c>
      <c r="AD314" s="22">
        <v>0</v>
      </c>
      <c r="AE314" s="22">
        <v>0</v>
      </c>
      <c r="AF314" s="22">
        <v>0</v>
      </c>
      <c r="AG314" s="22">
        <v>0</v>
      </c>
      <c r="AH314" s="22">
        <v>0</v>
      </c>
      <c r="AI314" s="22">
        <v>420</v>
      </c>
      <c r="AJ314" s="22">
        <v>0</v>
      </c>
      <c r="AK314" s="22">
        <v>0</v>
      </c>
      <c r="AL314" s="22">
        <v>0</v>
      </c>
      <c r="AM314" s="22">
        <v>0</v>
      </c>
      <c r="AN314" s="22">
        <v>0</v>
      </c>
      <c r="AO314" s="22">
        <v>0</v>
      </c>
      <c r="AP314" s="22">
        <v>0</v>
      </c>
      <c r="AQ314" s="22">
        <v>0</v>
      </c>
      <c r="AR314" s="22">
        <v>0</v>
      </c>
      <c r="AS314" s="22">
        <v>0</v>
      </c>
      <c r="AT314" s="22">
        <v>0</v>
      </c>
      <c r="AU314" s="19">
        <f t="shared" si="12"/>
        <v>420</v>
      </c>
      <c r="AV314" s="22">
        <v>6247</v>
      </c>
      <c r="AW314" s="24" t="s">
        <v>54</v>
      </c>
      <c r="AX314" s="25">
        <v>45790</v>
      </c>
      <c r="AY314" s="15">
        <v>-8516</v>
      </c>
      <c r="AZ314" s="26"/>
      <c r="BA314" s="27">
        <f t="shared" si="8"/>
        <v>0</v>
      </c>
      <c r="BB314" s="26"/>
      <c r="BC314" s="28"/>
    </row>
    <row r="315" spans="1:55" ht="28.8" x14ac:dyDescent="0.4">
      <c r="A315" s="15">
        <v>314</v>
      </c>
      <c r="B315" s="16">
        <v>80709</v>
      </c>
      <c r="C315" s="17" t="s">
        <v>505</v>
      </c>
      <c r="D315" s="16" t="s">
        <v>221</v>
      </c>
      <c r="E315" s="16" t="s">
        <v>522</v>
      </c>
      <c r="F315" s="16">
        <v>30</v>
      </c>
      <c r="G315" s="16">
        <v>29</v>
      </c>
      <c r="H315" s="18">
        <f t="shared" si="7"/>
        <v>1</v>
      </c>
      <c r="I315" s="19">
        <f t="shared" si="9"/>
        <v>533.33333333333337</v>
      </c>
      <c r="J315" s="16">
        <v>0</v>
      </c>
      <c r="K315" s="20">
        <v>0</v>
      </c>
      <c r="L315" s="21"/>
      <c r="M315" s="21"/>
      <c r="N315" s="16">
        <v>0</v>
      </c>
      <c r="O315" s="16">
        <v>0</v>
      </c>
      <c r="P315" s="16">
        <v>1</v>
      </c>
      <c r="Q315" s="16">
        <v>0</v>
      </c>
      <c r="R315" s="16">
        <v>0</v>
      </c>
      <c r="S315" s="22">
        <v>16000</v>
      </c>
      <c r="T315" s="19">
        <f t="shared" si="10"/>
        <v>0</v>
      </c>
      <c r="U315" s="19">
        <f t="shared" si="11"/>
        <v>15467</v>
      </c>
      <c r="V315" s="22">
        <v>15467</v>
      </c>
      <c r="W315" s="31">
        <v>0</v>
      </c>
      <c r="X315" s="22">
        <v>0</v>
      </c>
      <c r="Y315" s="22">
        <v>0</v>
      </c>
      <c r="Z315" s="22">
        <v>0</v>
      </c>
      <c r="AA315" s="22">
        <v>0</v>
      </c>
      <c r="AB315" s="22">
        <v>0</v>
      </c>
      <c r="AC315" s="22">
        <v>0</v>
      </c>
      <c r="AD315" s="22">
        <v>0</v>
      </c>
      <c r="AE315" s="22">
        <v>0</v>
      </c>
      <c r="AF315" s="22">
        <v>0</v>
      </c>
      <c r="AG315" s="22">
        <v>0</v>
      </c>
      <c r="AH315" s="22">
        <v>0</v>
      </c>
      <c r="AI315" s="22">
        <v>1015</v>
      </c>
      <c r="AJ315" s="22">
        <v>0</v>
      </c>
      <c r="AK315" s="22">
        <v>0</v>
      </c>
      <c r="AL315" s="22">
        <v>0</v>
      </c>
      <c r="AM315" s="22">
        <v>0</v>
      </c>
      <c r="AN315" s="22">
        <v>0</v>
      </c>
      <c r="AO315" s="22">
        <v>0</v>
      </c>
      <c r="AP315" s="22">
        <v>0</v>
      </c>
      <c r="AQ315" s="22">
        <v>0</v>
      </c>
      <c r="AR315" s="22">
        <v>0</v>
      </c>
      <c r="AS315" s="22">
        <v>0</v>
      </c>
      <c r="AT315" s="22">
        <v>0</v>
      </c>
      <c r="AU315" s="19">
        <f t="shared" si="12"/>
        <v>1015</v>
      </c>
      <c r="AV315" s="22">
        <v>14452</v>
      </c>
      <c r="AW315" s="24" t="s">
        <v>54</v>
      </c>
      <c r="AX315" s="25">
        <v>45790</v>
      </c>
      <c r="AY315" s="15"/>
      <c r="AZ315" s="26"/>
      <c r="BA315" s="27">
        <f t="shared" si="8"/>
        <v>-0.33333333333212067</v>
      </c>
      <c r="BB315" s="14"/>
      <c r="BC315" s="28"/>
    </row>
    <row r="316" spans="1:55" ht="28.8" x14ac:dyDescent="0.4">
      <c r="A316" s="15">
        <v>315</v>
      </c>
      <c r="B316" s="16">
        <v>80729</v>
      </c>
      <c r="C316" s="17" t="s">
        <v>505</v>
      </c>
      <c r="D316" s="16" t="s">
        <v>221</v>
      </c>
      <c r="E316" s="16" t="s">
        <v>523</v>
      </c>
      <c r="F316" s="16">
        <v>30</v>
      </c>
      <c r="G316" s="16">
        <v>10</v>
      </c>
      <c r="H316" s="18">
        <f t="shared" si="7"/>
        <v>20</v>
      </c>
      <c r="I316" s="19">
        <f t="shared" si="9"/>
        <v>10666.666666666668</v>
      </c>
      <c r="J316" s="16">
        <v>0</v>
      </c>
      <c r="K316" s="20">
        <v>0</v>
      </c>
      <c r="L316" s="21"/>
      <c r="M316" s="21"/>
      <c r="N316" s="16">
        <v>0</v>
      </c>
      <c r="O316" s="16">
        <v>0</v>
      </c>
      <c r="P316" s="16">
        <v>0</v>
      </c>
      <c r="Q316" s="16">
        <v>0</v>
      </c>
      <c r="R316" s="16">
        <v>20</v>
      </c>
      <c r="S316" s="22">
        <v>16000</v>
      </c>
      <c r="T316" s="19">
        <f t="shared" si="10"/>
        <v>0</v>
      </c>
      <c r="U316" s="19">
        <f t="shared" si="11"/>
        <v>5333</v>
      </c>
      <c r="V316" s="22">
        <v>5333</v>
      </c>
      <c r="W316" s="31">
        <v>0</v>
      </c>
      <c r="X316" s="22">
        <v>0</v>
      </c>
      <c r="Y316" s="22">
        <v>0</v>
      </c>
      <c r="Z316" s="22">
        <v>0</v>
      </c>
      <c r="AA316" s="22">
        <v>0</v>
      </c>
      <c r="AB316" s="22">
        <v>0</v>
      </c>
      <c r="AC316" s="22">
        <v>0</v>
      </c>
      <c r="AD316" s="22">
        <v>0</v>
      </c>
      <c r="AE316" s="22">
        <v>0</v>
      </c>
      <c r="AF316" s="22">
        <v>0</v>
      </c>
      <c r="AG316" s="22">
        <v>0</v>
      </c>
      <c r="AH316" s="22">
        <v>0</v>
      </c>
      <c r="AI316" s="22">
        <v>350</v>
      </c>
      <c r="AJ316" s="22">
        <v>0</v>
      </c>
      <c r="AK316" s="22">
        <v>0</v>
      </c>
      <c r="AL316" s="22">
        <v>0</v>
      </c>
      <c r="AM316" s="22">
        <v>0</v>
      </c>
      <c r="AN316" s="22">
        <v>0</v>
      </c>
      <c r="AO316" s="22">
        <v>0</v>
      </c>
      <c r="AP316" s="22">
        <v>0</v>
      </c>
      <c r="AQ316" s="22">
        <v>0</v>
      </c>
      <c r="AR316" s="22">
        <v>0</v>
      </c>
      <c r="AS316" s="22">
        <v>0</v>
      </c>
      <c r="AT316" s="22">
        <v>0</v>
      </c>
      <c r="AU316" s="19">
        <f t="shared" si="12"/>
        <v>350</v>
      </c>
      <c r="AV316" s="22">
        <v>4983</v>
      </c>
      <c r="AW316" s="24"/>
      <c r="AX316" s="34"/>
      <c r="AY316" s="15"/>
      <c r="AZ316" s="26"/>
      <c r="BA316" s="27">
        <f t="shared" si="8"/>
        <v>0.33333333333393966</v>
      </c>
      <c r="BB316" s="14"/>
      <c r="BC316" s="28"/>
    </row>
    <row r="317" spans="1:55" ht="28.8" x14ac:dyDescent="0.4">
      <c r="A317" s="15">
        <v>316</v>
      </c>
      <c r="B317" s="16">
        <v>80765</v>
      </c>
      <c r="C317" s="17" t="s">
        <v>505</v>
      </c>
      <c r="D317" s="16" t="s">
        <v>482</v>
      </c>
      <c r="E317" s="16" t="s">
        <v>524</v>
      </c>
      <c r="F317" s="16">
        <v>30</v>
      </c>
      <c r="G317" s="16">
        <v>15</v>
      </c>
      <c r="H317" s="18">
        <f t="shared" si="7"/>
        <v>15</v>
      </c>
      <c r="I317" s="19">
        <f t="shared" si="9"/>
        <v>8000.0000000000009</v>
      </c>
      <c r="J317" s="16">
        <v>0</v>
      </c>
      <c r="K317" s="20">
        <v>0</v>
      </c>
      <c r="L317" s="21"/>
      <c r="M317" s="21"/>
      <c r="N317" s="16">
        <v>0</v>
      </c>
      <c r="O317" s="16">
        <v>0</v>
      </c>
      <c r="P317" s="16">
        <v>0</v>
      </c>
      <c r="Q317" s="16">
        <v>0</v>
      </c>
      <c r="R317" s="16">
        <v>15</v>
      </c>
      <c r="S317" s="22">
        <v>16000</v>
      </c>
      <c r="T317" s="19">
        <f t="shared" si="10"/>
        <v>0</v>
      </c>
      <c r="U317" s="19">
        <f t="shared" si="11"/>
        <v>8000</v>
      </c>
      <c r="V317" s="22">
        <v>8000</v>
      </c>
      <c r="W317" s="31">
        <v>0</v>
      </c>
      <c r="X317" s="22">
        <v>0</v>
      </c>
      <c r="Y317" s="22">
        <v>0</v>
      </c>
      <c r="Z317" s="22">
        <v>0</v>
      </c>
      <c r="AA317" s="22">
        <v>0</v>
      </c>
      <c r="AB317" s="22">
        <v>0</v>
      </c>
      <c r="AC317" s="22">
        <v>0</v>
      </c>
      <c r="AD317" s="22">
        <v>0</v>
      </c>
      <c r="AE317" s="22">
        <v>0</v>
      </c>
      <c r="AF317" s="22">
        <v>0</v>
      </c>
      <c r="AG317" s="22">
        <v>0</v>
      </c>
      <c r="AH317" s="22">
        <v>0</v>
      </c>
      <c r="AI317" s="22">
        <v>525</v>
      </c>
      <c r="AJ317" s="22">
        <v>0</v>
      </c>
      <c r="AK317" s="22">
        <v>0</v>
      </c>
      <c r="AL317" s="22">
        <v>0</v>
      </c>
      <c r="AM317" s="22">
        <v>0</v>
      </c>
      <c r="AN317" s="22">
        <v>0</v>
      </c>
      <c r="AO317" s="22">
        <v>0</v>
      </c>
      <c r="AP317" s="22">
        <v>0</v>
      </c>
      <c r="AQ317" s="22">
        <v>0</v>
      </c>
      <c r="AR317" s="22">
        <v>0</v>
      </c>
      <c r="AS317" s="22">
        <v>0</v>
      </c>
      <c r="AT317" s="22">
        <v>0</v>
      </c>
      <c r="AU317" s="19">
        <f t="shared" si="12"/>
        <v>525</v>
      </c>
      <c r="AV317" s="22">
        <v>7475</v>
      </c>
      <c r="AW317" s="24" t="s">
        <v>54</v>
      </c>
      <c r="AX317" s="25">
        <v>45789</v>
      </c>
      <c r="AY317" s="15"/>
      <c r="AZ317" s="26"/>
      <c r="BA317" s="27">
        <f t="shared" si="8"/>
        <v>9.0949470177292824E-13</v>
      </c>
      <c r="BB317" s="14"/>
      <c r="BC317" s="28"/>
    </row>
    <row r="318" spans="1:55" ht="21" x14ac:dyDescent="0.4">
      <c r="A318" s="15">
        <v>317</v>
      </c>
      <c r="B318" s="16">
        <v>80766</v>
      </c>
      <c r="C318" s="17" t="s">
        <v>505</v>
      </c>
      <c r="D318" s="16" t="s">
        <v>482</v>
      </c>
      <c r="E318" s="16" t="s">
        <v>249</v>
      </c>
      <c r="F318" s="16">
        <v>30</v>
      </c>
      <c r="G318" s="16">
        <v>15</v>
      </c>
      <c r="H318" s="18">
        <f t="shared" si="7"/>
        <v>15</v>
      </c>
      <c r="I318" s="19">
        <f t="shared" si="9"/>
        <v>8000.0000000000009</v>
      </c>
      <c r="J318" s="16">
        <v>0</v>
      </c>
      <c r="K318" s="20">
        <v>0</v>
      </c>
      <c r="L318" s="21"/>
      <c r="M318" s="21"/>
      <c r="N318" s="16">
        <v>0</v>
      </c>
      <c r="O318" s="16">
        <v>0</v>
      </c>
      <c r="P318" s="16">
        <v>0</v>
      </c>
      <c r="Q318" s="16">
        <v>0</v>
      </c>
      <c r="R318" s="16">
        <v>15</v>
      </c>
      <c r="S318" s="22">
        <v>16000</v>
      </c>
      <c r="T318" s="19">
        <f t="shared" si="10"/>
        <v>0</v>
      </c>
      <c r="U318" s="19">
        <f t="shared" si="11"/>
        <v>8000</v>
      </c>
      <c r="V318" s="22">
        <v>8000</v>
      </c>
      <c r="W318" s="31">
        <v>0</v>
      </c>
      <c r="X318" s="22">
        <v>0</v>
      </c>
      <c r="Y318" s="22">
        <v>0</v>
      </c>
      <c r="Z318" s="22">
        <v>0</v>
      </c>
      <c r="AA318" s="22">
        <v>0</v>
      </c>
      <c r="AB318" s="22">
        <v>0</v>
      </c>
      <c r="AC318" s="22">
        <v>0</v>
      </c>
      <c r="AD318" s="22">
        <v>0</v>
      </c>
      <c r="AE318" s="22">
        <v>0</v>
      </c>
      <c r="AF318" s="22">
        <v>0</v>
      </c>
      <c r="AG318" s="22">
        <v>0</v>
      </c>
      <c r="AH318" s="22">
        <v>0</v>
      </c>
      <c r="AI318" s="22">
        <v>525</v>
      </c>
      <c r="AJ318" s="22">
        <v>0</v>
      </c>
      <c r="AK318" s="22">
        <v>0</v>
      </c>
      <c r="AL318" s="22">
        <v>0</v>
      </c>
      <c r="AM318" s="22">
        <v>0</v>
      </c>
      <c r="AN318" s="22">
        <v>0</v>
      </c>
      <c r="AO318" s="22">
        <v>0</v>
      </c>
      <c r="AP318" s="22">
        <v>0</v>
      </c>
      <c r="AQ318" s="22">
        <v>0</v>
      </c>
      <c r="AR318" s="22">
        <v>0</v>
      </c>
      <c r="AS318" s="22">
        <v>0</v>
      </c>
      <c r="AT318" s="22">
        <v>0</v>
      </c>
      <c r="AU318" s="19">
        <f t="shared" si="12"/>
        <v>525</v>
      </c>
      <c r="AV318" s="22">
        <v>7475</v>
      </c>
      <c r="AW318" s="24" t="s">
        <v>54</v>
      </c>
      <c r="AX318" s="25">
        <v>45789</v>
      </c>
      <c r="AY318" s="15"/>
      <c r="AZ318" s="26"/>
      <c r="BA318" s="27">
        <f t="shared" si="8"/>
        <v>9.0949470177292824E-13</v>
      </c>
      <c r="BB318" s="14"/>
      <c r="BC318" s="28"/>
    </row>
    <row r="319" spans="1:55" ht="42.6" x14ac:dyDescent="0.4">
      <c r="A319" s="15">
        <v>318</v>
      </c>
      <c r="B319" s="16">
        <v>80783</v>
      </c>
      <c r="C319" s="17" t="s">
        <v>505</v>
      </c>
      <c r="D319" s="16" t="s">
        <v>221</v>
      </c>
      <c r="E319" s="16" t="s">
        <v>525</v>
      </c>
      <c r="F319" s="16">
        <v>30</v>
      </c>
      <c r="G319" s="16">
        <v>11</v>
      </c>
      <c r="H319" s="18">
        <f t="shared" si="7"/>
        <v>19</v>
      </c>
      <c r="I319" s="19">
        <f t="shared" si="9"/>
        <v>10133.333333333334</v>
      </c>
      <c r="J319" s="16">
        <v>0</v>
      </c>
      <c r="K319" s="20">
        <v>0</v>
      </c>
      <c r="L319" s="21"/>
      <c r="M319" s="21"/>
      <c r="N319" s="16">
        <v>0</v>
      </c>
      <c r="O319" s="16">
        <v>0</v>
      </c>
      <c r="P319" s="16">
        <v>0</v>
      </c>
      <c r="Q319" s="16">
        <v>0</v>
      </c>
      <c r="R319" s="16">
        <v>19</v>
      </c>
      <c r="S319" s="22">
        <v>16000</v>
      </c>
      <c r="T319" s="19">
        <f t="shared" si="10"/>
        <v>0</v>
      </c>
      <c r="U319" s="19">
        <f t="shared" si="11"/>
        <v>5867</v>
      </c>
      <c r="V319" s="22">
        <v>5867</v>
      </c>
      <c r="W319" s="31">
        <v>0</v>
      </c>
      <c r="X319" s="22">
        <v>0</v>
      </c>
      <c r="Y319" s="22">
        <v>0</v>
      </c>
      <c r="Z319" s="22">
        <v>0</v>
      </c>
      <c r="AA319" s="22">
        <v>0</v>
      </c>
      <c r="AB319" s="22">
        <v>0</v>
      </c>
      <c r="AC319" s="22">
        <v>0</v>
      </c>
      <c r="AD319" s="22">
        <v>0</v>
      </c>
      <c r="AE319" s="22">
        <v>0</v>
      </c>
      <c r="AF319" s="22">
        <v>0</v>
      </c>
      <c r="AG319" s="22">
        <v>0</v>
      </c>
      <c r="AH319" s="22">
        <v>0</v>
      </c>
      <c r="AI319" s="22">
        <v>385</v>
      </c>
      <c r="AJ319" s="22">
        <v>0</v>
      </c>
      <c r="AK319" s="22">
        <v>0</v>
      </c>
      <c r="AL319" s="22">
        <v>0</v>
      </c>
      <c r="AM319" s="22">
        <v>0</v>
      </c>
      <c r="AN319" s="22">
        <v>0</v>
      </c>
      <c r="AO319" s="22">
        <v>0</v>
      </c>
      <c r="AP319" s="22">
        <v>0</v>
      </c>
      <c r="AQ319" s="22">
        <v>0</v>
      </c>
      <c r="AR319" s="22">
        <v>0</v>
      </c>
      <c r="AS319" s="22">
        <v>0</v>
      </c>
      <c r="AT319" s="22">
        <v>0</v>
      </c>
      <c r="AU319" s="19">
        <f t="shared" si="12"/>
        <v>385</v>
      </c>
      <c r="AV319" s="22">
        <v>5482</v>
      </c>
      <c r="AW319" s="24" t="s">
        <v>54</v>
      </c>
      <c r="AX319" s="25">
        <v>45789</v>
      </c>
      <c r="AY319" s="15"/>
      <c r="AZ319" s="26"/>
      <c r="BA319" s="27">
        <f t="shared" si="8"/>
        <v>-0.33333333333303017</v>
      </c>
      <c r="BB319" s="14"/>
      <c r="BC319" s="28"/>
    </row>
    <row r="320" spans="1:55" ht="21" x14ac:dyDescent="0.4">
      <c r="A320" s="15">
        <v>319</v>
      </c>
      <c r="B320" s="16">
        <v>80785</v>
      </c>
      <c r="C320" s="17" t="s">
        <v>505</v>
      </c>
      <c r="D320" s="16" t="s">
        <v>221</v>
      </c>
      <c r="E320" s="16" t="s">
        <v>526</v>
      </c>
      <c r="F320" s="16">
        <v>30</v>
      </c>
      <c r="G320" s="16">
        <v>10</v>
      </c>
      <c r="H320" s="18">
        <f t="shared" si="7"/>
        <v>20</v>
      </c>
      <c r="I320" s="19">
        <f t="shared" si="9"/>
        <v>10666.666666666668</v>
      </c>
      <c r="J320" s="16">
        <v>0</v>
      </c>
      <c r="K320" s="20">
        <v>0</v>
      </c>
      <c r="L320" s="21"/>
      <c r="M320" s="21"/>
      <c r="N320" s="16">
        <v>0</v>
      </c>
      <c r="O320" s="16">
        <v>0</v>
      </c>
      <c r="P320" s="16">
        <v>0</v>
      </c>
      <c r="Q320" s="16">
        <v>0</v>
      </c>
      <c r="R320" s="16">
        <v>20</v>
      </c>
      <c r="S320" s="22">
        <v>16000</v>
      </c>
      <c r="T320" s="19">
        <f t="shared" si="10"/>
        <v>0</v>
      </c>
      <c r="U320" s="19">
        <f t="shared" si="11"/>
        <v>5333</v>
      </c>
      <c r="V320" s="22">
        <v>5333</v>
      </c>
      <c r="W320" s="31">
        <v>0</v>
      </c>
      <c r="X320" s="22">
        <v>0</v>
      </c>
      <c r="Y320" s="22">
        <v>0</v>
      </c>
      <c r="Z320" s="22">
        <v>0</v>
      </c>
      <c r="AA320" s="22">
        <v>0</v>
      </c>
      <c r="AB320" s="22">
        <v>0</v>
      </c>
      <c r="AC320" s="22">
        <v>0</v>
      </c>
      <c r="AD320" s="22">
        <v>0</v>
      </c>
      <c r="AE320" s="22">
        <v>0</v>
      </c>
      <c r="AF320" s="22">
        <v>0</v>
      </c>
      <c r="AG320" s="22">
        <v>0</v>
      </c>
      <c r="AH320" s="22">
        <v>0</v>
      </c>
      <c r="AI320" s="22">
        <v>350</v>
      </c>
      <c r="AJ320" s="22">
        <v>0</v>
      </c>
      <c r="AK320" s="22">
        <v>0</v>
      </c>
      <c r="AL320" s="22">
        <v>0</v>
      </c>
      <c r="AM320" s="22">
        <v>0</v>
      </c>
      <c r="AN320" s="22">
        <v>0</v>
      </c>
      <c r="AO320" s="22">
        <v>0</v>
      </c>
      <c r="AP320" s="22">
        <v>0</v>
      </c>
      <c r="AQ320" s="22">
        <v>0</v>
      </c>
      <c r="AR320" s="22">
        <v>0</v>
      </c>
      <c r="AS320" s="22">
        <v>0</v>
      </c>
      <c r="AT320" s="22">
        <v>0</v>
      </c>
      <c r="AU320" s="19">
        <f t="shared" si="12"/>
        <v>350</v>
      </c>
      <c r="AV320" s="22">
        <v>4983</v>
      </c>
      <c r="AW320" s="24" t="s">
        <v>54</v>
      </c>
      <c r="AX320" s="25">
        <v>45789</v>
      </c>
      <c r="AY320" s="15"/>
      <c r="AZ320" s="26"/>
      <c r="BA320" s="27">
        <f t="shared" si="8"/>
        <v>0.33333333333393966</v>
      </c>
      <c r="BB320" s="14"/>
      <c r="BC320" s="28"/>
    </row>
    <row r="321" spans="1:55" ht="28.8" x14ac:dyDescent="0.4">
      <c r="A321" s="15">
        <v>320</v>
      </c>
      <c r="B321" s="16">
        <v>80786</v>
      </c>
      <c r="C321" s="17" t="s">
        <v>505</v>
      </c>
      <c r="D321" s="16" t="s">
        <v>221</v>
      </c>
      <c r="E321" s="16" t="s">
        <v>527</v>
      </c>
      <c r="F321" s="16">
        <v>30</v>
      </c>
      <c r="G321" s="16">
        <v>13</v>
      </c>
      <c r="H321" s="18">
        <f t="shared" si="7"/>
        <v>17</v>
      </c>
      <c r="I321" s="19">
        <f t="shared" si="9"/>
        <v>9066.6666666666679</v>
      </c>
      <c r="J321" s="16">
        <v>0</v>
      </c>
      <c r="K321" s="20">
        <v>0</v>
      </c>
      <c r="L321" s="21"/>
      <c r="M321" s="21"/>
      <c r="N321" s="16">
        <v>0</v>
      </c>
      <c r="O321" s="16">
        <v>0</v>
      </c>
      <c r="P321" s="16">
        <v>0</v>
      </c>
      <c r="Q321" s="16">
        <v>0</v>
      </c>
      <c r="R321" s="16">
        <v>17</v>
      </c>
      <c r="S321" s="22">
        <v>16000</v>
      </c>
      <c r="T321" s="19">
        <f t="shared" si="10"/>
        <v>0</v>
      </c>
      <c r="U321" s="19">
        <f t="shared" si="11"/>
        <v>6933</v>
      </c>
      <c r="V321" s="22">
        <v>6933</v>
      </c>
      <c r="W321" s="31">
        <v>0</v>
      </c>
      <c r="X321" s="22">
        <v>0</v>
      </c>
      <c r="Y321" s="22">
        <v>0</v>
      </c>
      <c r="Z321" s="22">
        <v>0</v>
      </c>
      <c r="AA321" s="22">
        <v>0</v>
      </c>
      <c r="AB321" s="22">
        <v>0</v>
      </c>
      <c r="AC321" s="22">
        <v>0</v>
      </c>
      <c r="AD321" s="22">
        <v>0</v>
      </c>
      <c r="AE321" s="22">
        <v>0</v>
      </c>
      <c r="AF321" s="22">
        <v>0</v>
      </c>
      <c r="AG321" s="22">
        <v>0</v>
      </c>
      <c r="AH321" s="22">
        <v>0</v>
      </c>
      <c r="AI321" s="22">
        <v>455</v>
      </c>
      <c r="AJ321" s="22">
        <v>0</v>
      </c>
      <c r="AK321" s="22">
        <v>0</v>
      </c>
      <c r="AL321" s="22">
        <v>0</v>
      </c>
      <c r="AM321" s="22">
        <v>0</v>
      </c>
      <c r="AN321" s="22">
        <v>0</v>
      </c>
      <c r="AO321" s="22">
        <v>0</v>
      </c>
      <c r="AP321" s="22">
        <v>0</v>
      </c>
      <c r="AQ321" s="22">
        <v>0</v>
      </c>
      <c r="AR321" s="22">
        <v>0</v>
      </c>
      <c r="AS321" s="22">
        <v>0</v>
      </c>
      <c r="AT321" s="22">
        <v>0</v>
      </c>
      <c r="AU321" s="19">
        <f t="shared" si="12"/>
        <v>455</v>
      </c>
      <c r="AV321" s="22">
        <v>6478</v>
      </c>
      <c r="AW321" s="24" t="s">
        <v>54</v>
      </c>
      <c r="AX321" s="25">
        <v>45789</v>
      </c>
      <c r="AY321" s="15"/>
      <c r="AZ321" s="26"/>
      <c r="BA321" s="27">
        <f t="shared" si="8"/>
        <v>0.33333333333393966</v>
      </c>
      <c r="BB321" s="42"/>
      <c r="BC321" s="28"/>
    </row>
    <row r="322" spans="1:55" ht="42.6" x14ac:dyDescent="0.4">
      <c r="A322" s="15">
        <v>321</v>
      </c>
      <c r="B322" s="16">
        <v>80788</v>
      </c>
      <c r="C322" s="17" t="s">
        <v>505</v>
      </c>
      <c r="D322" s="16" t="s">
        <v>221</v>
      </c>
      <c r="E322" s="16" t="s">
        <v>61</v>
      </c>
      <c r="F322" s="16">
        <v>30</v>
      </c>
      <c r="G322" s="16">
        <v>10</v>
      </c>
      <c r="H322" s="18">
        <f t="shared" si="7"/>
        <v>20</v>
      </c>
      <c r="I322" s="19">
        <f t="shared" si="9"/>
        <v>10666.666666666668</v>
      </c>
      <c r="J322" s="16">
        <v>0</v>
      </c>
      <c r="K322" s="20">
        <v>0</v>
      </c>
      <c r="L322" s="21"/>
      <c r="M322" s="21"/>
      <c r="N322" s="16">
        <v>0</v>
      </c>
      <c r="O322" s="16">
        <v>0</v>
      </c>
      <c r="P322" s="16">
        <v>0</v>
      </c>
      <c r="Q322" s="16">
        <v>0</v>
      </c>
      <c r="R322" s="16">
        <v>20</v>
      </c>
      <c r="S322" s="22">
        <v>16000</v>
      </c>
      <c r="T322" s="19">
        <f t="shared" si="10"/>
        <v>0</v>
      </c>
      <c r="U322" s="19">
        <f t="shared" si="11"/>
        <v>5333</v>
      </c>
      <c r="V322" s="22">
        <v>5333</v>
      </c>
      <c r="W322" s="31">
        <v>0</v>
      </c>
      <c r="X322" s="22">
        <v>0</v>
      </c>
      <c r="Y322" s="22">
        <v>0</v>
      </c>
      <c r="Z322" s="22">
        <v>0</v>
      </c>
      <c r="AA322" s="22">
        <v>0</v>
      </c>
      <c r="AB322" s="22">
        <v>0</v>
      </c>
      <c r="AC322" s="22">
        <v>0</v>
      </c>
      <c r="AD322" s="22">
        <v>0</v>
      </c>
      <c r="AE322" s="22">
        <v>0</v>
      </c>
      <c r="AF322" s="22">
        <v>0</v>
      </c>
      <c r="AG322" s="22">
        <v>0</v>
      </c>
      <c r="AH322" s="22">
        <v>0</v>
      </c>
      <c r="AI322" s="22">
        <v>350</v>
      </c>
      <c r="AJ322" s="22">
        <v>0</v>
      </c>
      <c r="AK322" s="22">
        <v>0</v>
      </c>
      <c r="AL322" s="22">
        <v>0</v>
      </c>
      <c r="AM322" s="22">
        <v>0</v>
      </c>
      <c r="AN322" s="22">
        <v>0</v>
      </c>
      <c r="AO322" s="22">
        <v>0</v>
      </c>
      <c r="AP322" s="22">
        <v>0</v>
      </c>
      <c r="AQ322" s="22">
        <v>0</v>
      </c>
      <c r="AR322" s="22">
        <v>0</v>
      </c>
      <c r="AS322" s="22">
        <v>0</v>
      </c>
      <c r="AT322" s="22">
        <v>0</v>
      </c>
      <c r="AU322" s="19">
        <f t="shared" si="12"/>
        <v>350</v>
      </c>
      <c r="AV322" s="22">
        <v>4983</v>
      </c>
      <c r="AW322" s="24" t="s">
        <v>54</v>
      </c>
      <c r="AX322" s="25">
        <v>45789</v>
      </c>
      <c r="AY322" s="15"/>
      <c r="AZ322" s="26"/>
      <c r="BA322" s="27">
        <f t="shared" si="8"/>
        <v>0.33333333333393966</v>
      </c>
      <c r="BB322" s="14"/>
      <c r="BC322" s="28"/>
    </row>
    <row r="323" spans="1:55" ht="28.8" x14ac:dyDescent="0.4">
      <c r="A323" s="15">
        <v>322</v>
      </c>
      <c r="B323" s="36">
        <v>32018</v>
      </c>
      <c r="C323" s="37" t="s">
        <v>528</v>
      </c>
      <c r="D323" s="36" t="s">
        <v>280</v>
      </c>
      <c r="E323" s="36" t="s">
        <v>529</v>
      </c>
      <c r="F323" s="16">
        <v>30</v>
      </c>
      <c r="G323" s="16">
        <v>30</v>
      </c>
      <c r="H323" s="18">
        <f t="shared" si="7"/>
        <v>0</v>
      </c>
      <c r="I323" s="19">
        <f t="shared" si="9"/>
        <v>0</v>
      </c>
      <c r="J323" s="16">
        <v>0</v>
      </c>
      <c r="K323" s="20">
        <v>0</v>
      </c>
      <c r="L323" s="21"/>
      <c r="M323" s="21"/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32">
        <v>27500</v>
      </c>
      <c r="T323" s="19">
        <f t="shared" si="10"/>
        <v>0</v>
      </c>
      <c r="U323" s="19">
        <f t="shared" si="11"/>
        <v>27500</v>
      </c>
      <c r="V323" s="22">
        <v>27500</v>
      </c>
      <c r="W323" s="31">
        <v>0</v>
      </c>
      <c r="X323" s="22">
        <v>0</v>
      </c>
      <c r="Y323" s="22">
        <v>0</v>
      </c>
      <c r="Z323" s="22">
        <v>0</v>
      </c>
      <c r="AA323" s="22">
        <v>0</v>
      </c>
      <c r="AB323" s="22">
        <v>0</v>
      </c>
      <c r="AC323" s="22">
        <v>1895</v>
      </c>
      <c r="AD323" s="22">
        <v>0</v>
      </c>
      <c r="AE323" s="22">
        <v>0</v>
      </c>
      <c r="AF323" s="22">
        <v>0</v>
      </c>
      <c r="AG323" s="22">
        <v>0</v>
      </c>
      <c r="AH323" s="22">
        <v>0</v>
      </c>
      <c r="AI323" s="22">
        <v>1050</v>
      </c>
      <c r="AJ323" s="22">
        <v>0</v>
      </c>
      <c r="AK323" s="22">
        <v>0</v>
      </c>
      <c r="AL323" s="22">
        <v>0</v>
      </c>
      <c r="AM323" s="22">
        <v>0</v>
      </c>
      <c r="AN323" s="22">
        <v>0</v>
      </c>
      <c r="AO323" s="22">
        <v>0</v>
      </c>
      <c r="AP323" s="22">
        <v>0</v>
      </c>
      <c r="AQ323" s="22">
        <v>0</v>
      </c>
      <c r="AR323" s="22">
        <v>0</v>
      </c>
      <c r="AS323" s="22">
        <v>0</v>
      </c>
      <c r="AT323" s="22">
        <v>0</v>
      </c>
      <c r="AU323" s="19">
        <f t="shared" si="12"/>
        <v>2945</v>
      </c>
      <c r="AV323" s="41">
        <f>4746.67+19808</f>
        <v>24554.67</v>
      </c>
      <c r="AW323" s="24" t="s">
        <v>54</v>
      </c>
      <c r="AX323" s="25">
        <v>45789</v>
      </c>
      <c r="AY323" s="15"/>
      <c r="AZ323" s="26"/>
      <c r="BA323" s="27">
        <f t="shared" si="8"/>
        <v>0.33000000000174623</v>
      </c>
      <c r="BB323" s="14"/>
      <c r="BC323" s="28"/>
    </row>
    <row r="324" spans="1:55" ht="28.8" x14ac:dyDescent="0.4">
      <c r="A324" s="15">
        <v>323</v>
      </c>
      <c r="B324" s="36">
        <v>32103</v>
      </c>
      <c r="C324" s="37" t="s">
        <v>528</v>
      </c>
      <c r="D324" s="36" t="s">
        <v>419</v>
      </c>
      <c r="E324" s="36" t="s">
        <v>530</v>
      </c>
      <c r="F324" s="16">
        <v>30</v>
      </c>
      <c r="G324" s="16">
        <v>30</v>
      </c>
      <c r="H324" s="18">
        <f t="shared" si="7"/>
        <v>0</v>
      </c>
      <c r="I324" s="19">
        <f t="shared" si="9"/>
        <v>0</v>
      </c>
      <c r="J324" s="16">
        <v>0</v>
      </c>
      <c r="K324" s="20">
        <v>0</v>
      </c>
      <c r="L324" s="21"/>
      <c r="M324" s="21"/>
      <c r="N324" s="16">
        <v>0</v>
      </c>
      <c r="O324" s="16">
        <v>0</v>
      </c>
      <c r="P324" s="16">
        <v>0</v>
      </c>
      <c r="Q324" s="16">
        <v>0</v>
      </c>
      <c r="R324" s="16">
        <v>0</v>
      </c>
      <c r="S324" s="32">
        <v>25000</v>
      </c>
      <c r="T324" s="19">
        <f t="shared" si="10"/>
        <v>0</v>
      </c>
      <c r="U324" s="19">
        <f t="shared" si="11"/>
        <v>25000</v>
      </c>
      <c r="V324" s="22">
        <v>25000</v>
      </c>
      <c r="W324" s="31">
        <v>0</v>
      </c>
      <c r="X324" s="22">
        <v>0</v>
      </c>
      <c r="Y324" s="22">
        <v>0</v>
      </c>
      <c r="Z324" s="22">
        <v>0</v>
      </c>
      <c r="AA324" s="22">
        <v>0</v>
      </c>
      <c r="AB324" s="22">
        <v>0</v>
      </c>
      <c r="AC324" s="22">
        <v>0</v>
      </c>
      <c r="AD324" s="22">
        <v>0</v>
      </c>
      <c r="AE324" s="22">
        <v>0</v>
      </c>
      <c r="AF324" s="22">
        <v>0</v>
      </c>
      <c r="AG324" s="22">
        <v>0</v>
      </c>
      <c r="AH324" s="22">
        <v>0</v>
      </c>
      <c r="AI324" s="22">
        <v>1050</v>
      </c>
      <c r="AJ324" s="22">
        <v>0</v>
      </c>
      <c r="AK324" s="22">
        <v>0</v>
      </c>
      <c r="AL324" s="22">
        <v>0</v>
      </c>
      <c r="AM324" s="22">
        <v>0</v>
      </c>
      <c r="AN324" s="22">
        <v>0</v>
      </c>
      <c r="AO324" s="22">
        <v>0</v>
      </c>
      <c r="AP324" s="22">
        <v>0</v>
      </c>
      <c r="AQ324" s="22">
        <v>0</v>
      </c>
      <c r="AR324" s="22">
        <v>0</v>
      </c>
      <c r="AS324" s="22">
        <v>0</v>
      </c>
      <c r="AT324" s="22">
        <v>0</v>
      </c>
      <c r="AU324" s="19">
        <f t="shared" si="12"/>
        <v>1050</v>
      </c>
      <c r="AV324" s="22">
        <v>23950</v>
      </c>
      <c r="AW324" s="24" t="s">
        <v>54</v>
      </c>
      <c r="AX324" s="34"/>
      <c r="AY324" s="15"/>
      <c r="AZ324" s="26"/>
      <c r="BA324" s="27">
        <f t="shared" si="8"/>
        <v>0</v>
      </c>
      <c r="BB324" s="14"/>
      <c r="BC324" s="28"/>
    </row>
    <row r="325" spans="1:55" ht="42.6" x14ac:dyDescent="0.4">
      <c r="A325" s="15">
        <v>324</v>
      </c>
      <c r="B325" s="36">
        <v>80562</v>
      </c>
      <c r="C325" s="37" t="s">
        <v>528</v>
      </c>
      <c r="D325" s="36" t="s">
        <v>221</v>
      </c>
      <c r="E325" s="36" t="s">
        <v>531</v>
      </c>
      <c r="F325" s="16">
        <v>30</v>
      </c>
      <c r="G325" s="16">
        <v>24</v>
      </c>
      <c r="H325" s="18">
        <f t="shared" si="7"/>
        <v>6</v>
      </c>
      <c r="I325" s="19">
        <f t="shared" si="9"/>
        <v>3200</v>
      </c>
      <c r="J325" s="16">
        <v>0</v>
      </c>
      <c r="K325" s="20">
        <v>0</v>
      </c>
      <c r="L325" s="21"/>
      <c r="M325" s="21"/>
      <c r="N325" s="16">
        <v>0</v>
      </c>
      <c r="O325" s="16">
        <v>0</v>
      </c>
      <c r="P325" s="16">
        <v>2</v>
      </c>
      <c r="Q325" s="16">
        <v>4</v>
      </c>
      <c r="R325" s="16">
        <v>0</v>
      </c>
      <c r="S325" s="22">
        <v>16000</v>
      </c>
      <c r="T325" s="19">
        <f t="shared" si="10"/>
        <v>0</v>
      </c>
      <c r="U325" s="19">
        <f t="shared" si="11"/>
        <v>12800</v>
      </c>
      <c r="V325" s="22">
        <v>12800</v>
      </c>
      <c r="W325" s="31">
        <v>0</v>
      </c>
      <c r="X325" s="22">
        <v>0</v>
      </c>
      <c r="Y325" s="22">
        <v>0</v>
      </c>
      <c r="Z325" s="22">
        <v>0</v>
      </c>
      <c r="AA325" s="22">
        <v>0</v>
      </c>
      <c r="AB325" s="22">
        <v>0</v>
      </c>
      <c r="AC325" s="22">
        <v>0</v>
      </c>
      <c r="AD325" s="22">
        <v>0</v>
      </c>
      <c r="AE325" s="22">
        <v>0</v>
      </c>
      <c r="AF325" s="22">
        <v>0</v>
      </c>
      <c r="AG325" s="22">
        <v>0</v>
      </c>
      <c r="AH325" s="22">
        <v>0</v>
      </c>
      <c r="AI325" s="22">
        <v>840</v>
      </c>
      <c r="AJ325" s="22">
        <v>0</v>
      </c>
      <c r="AK325" s="22">
        <v>0</v>
      </c>
      <c r="AL325" s="22">
        <v>0</v>
      </c>
      <c r="AM325" s="22">
        <v>0</v>
      </c>
      <c r="AN325" s="22">
        <v>0</v>
      </c>
      <c r="AO325" s="22">
        <v>0</v>
      </c>
      <c r="AP325" s="22">
        <v>0</v>
      </c>
      <c r="AQ325" s="22">
        <v>0</v>
      </c>
      <c r="AR325" s="22">
        <v>0</v>
      </c>
      <c r="AS325" s="22">
        <v>0</v>
      </c>
      <c r="AT325" s="22">
        <v>0</v>
      </c>
      <c r="AU325" s="19">
        <f t="shared" si="12"/>
        <v>840</v>
      </c>
      <c r="AV325" s="22">
        <f>5560+6400</f>
        <v>11960</v>
      </c>
      <c r="AW325" s="24" t="s">
        <v>54</v>
      </c>
      <c r="AX325" s="34"/>
      <c r="AY325" s="15"/>
      <c r="AZ325" s="26"/>
      <c r="BA325" s="27">
        <f t="shared" si="8"/>
        <v>0</v>
      </c>
      <c r="BB325" s="14"/>
      <c r="BC325" s="28"/>
    </row>
    <row r="326" spans="1:55" ht="28.8" x14ac:dyDescent="0.4">
      <c r="A326" s="15">
        <v>325</v>
      </c>
      <c r="B326" s="16">
        <v>29007</v>
      </c>
      <c r="C326" s="17" t="s">
        <v>528</v>
      </c>
      <c r="D326" s="16" t="s">
        <v>280</v>
      </c>
      <c r="E326" s="16" t="s">
        <v>532</v>
      </c>
      <c r="F326" s="16">
        <v>30</v>
      </c>
      <c r="G326" s="16">
        <v>29</v>
      </c>
      <c r="H326" s="18">
        <f t="shared" si="7"/>
        <v>1</v>
      </c>
      <c r="I326" s="19">
        <f t="shared" si="9"/>
        <v>833.33333333333337</v>
      </c>
      <c r="J326" s="16">
        <v>0</v>
      </c>
      <c r="K326" s="20">
        <v>0</v>
      </c>
      <c r="L326" s="21"/>
      <c r="M326" s="21"/>
      <c r="N326" s="16">
        <v>0</v>
      </c>
      <c r="O326" s="16">
        <v>0</v>
      </c>
      <c r="P326" s="16">
        <v>0</v>
      </c>
      <c r="Q326" s="16">
        <v>0</v>
      </c>
      <c r="R326" s="16">
        <v>1</v>
      </c>
      <c r="S326" s="22">
        <v>25000</v>
      </c>
      <c r="T326" s="19">
        <f t="shared" si="10"/>
        <v>0</v>
      </c>
      <c r="U326" s="19">
        <f t="shared" si="11"/>
        <v>24167</v>
      </c>
      <c r="V326" s="22">
        <v>24167</v>
      </c>
      <c r="W326" s="31">
        <v>0</v>
      </c>
      <c r="X326" s="22">
        <v>0</v>
      </c>
      <c r="Y326" s="22">
        <v>0</v>
      </c>
      <c r="Z326" s="22">
        <v>0</v>
      </c>
      <c r="AA326" s="22">
        <v>0</v>
      </c>
      <c r="AB326" s="22">
        <v>0</v>
      </c>
      <c r="AC326" s="22">
        <v>525</v>
      </c>
      <c r="AD326" s="22">
        <v>0</v>
      </c>
      <c r="AE326" s="22">
        <v>0</v>
      </c>
      <c r="AF326" s="22">
        <v>0</v>
      </c>
      <c r="AG326" s="22">
        <v>0</v>
      </c>
      <c r="AH326" s="22">
        <v>0</v>
      </c>
      <c r="AI326" s="22">
        <v>1015</v>
      </c>
      <c r="AJ326" s="22">
        <v>0</v>
      </c>
      <c r="AK326" s="22">
        <v>0</v>
      </c>
      <c r="AL326" s="22">
        <v>0</v>
      </c>
      <c r="AM326" s="22">
        <v>0</v>
      </c>
      <c r="AN326" s="22">
        <v>0</v>
      </c>
      <c r="AO326" s="22">
        <v>0</v>
      </c>
      <c r="AP326" s="22">
        <v>0</v>
      </c>
      <c r="AQ326" s="22">
        <v>0</v>
      </c>
      <c r="AR326" s="22">
        <v>0</v>
      </c>
      <c r="AS326" s="22">
        <v>0</v>
      </c>
      <c r="AT326" s="22">
        <v>0</v>
      </c>
      <c r="AU326" s="19">
        <f t="shared" si="12"/>
        <v>1540</v>
      </c>
      <c r="AV326" s="22">
        <v>22627</v>
      </c>
      <c r="AW326" s="24" t="s">
        <v>54</v>
      </c>
      <c r="AX326" s="25">
        <v>45794</v>
      </c>
      <c r="AY326" s="15"/>
      <c r="AZ326" s="26"/>
      <c r="BA326" s="27">
        <f t="shared" si="8"/>
        <v>-0.33333333333212067</v>
      </c>
      <c r="BB326" s="14"/>
      <c r="BC326" s="28"/>
    </row>
    <row r="327" spans="1:55" ht="28.8" x14ac:dyDescent="0.4">
      <c r="A327" s="15">
        <v>326</v>
      </c>
      <c r="B327" s="16">
        <v>29131</v>
      </c>
      <c r="C327" s="17" t="s">
        <v>528</v>
      </c>
      <c r="D327" s="16" t="s">
        <v>280</v>
      </c>
      <c r="E327" s="16" t="s">
        <v>533</v>
      </c>
      <c r="F327" s="16">
        <v>30</v>
      </c>
      <c r="G327" s="16">
        <v>30</v>
      </c>
      <c r="H327" s="18">
        <f t="shared" si="7"/>
        <v>0</v>
      </c>
      <c r="I327" s="19">
        <f t="shared" si="9"/>
        <v>0</v>
      </c>
      <c r="J327" s="16">
        <v>0</v>
      </c>
      <c r="K327" s="20">
        <v>0</v>
      </c>
      <c r="L327" s="21"/>
      <c r="M327" s="21"/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22">
        <v>25000</v>
      </c>
      <c r="T327" s="19">
        <f t="shared" si="10"/>
        <v>0</v>
      </c>
      <c r="U327" s="19">
        <f t="shared" si="11"/>
        <v>25000</v>
      </c>
      <c r="V327" s="22">
        <v>25000</v>
      </c>
      <c r="W327" s="31">
        <v>0</v>
      </c>
      <c r="X327" s="22">
        <v>0</v>
      </c>
      <c r="Y327" s="22">
        <v>0</v>
      </c>
      <c r="Z327" s="22">
        <v>0</v>
      </c>
      <c r="AA327" s="22">
        <v>0</v>
      </c>
      <c r="AB327" s="22">
        <v>0</v>
      </c>
      <c r="AC327" s="22">
        <v>0</v>
      </c>
      <c r="AD327" s="22">
        <v>0</v>
      </c>
      <c r="AE327" s="22">
        <v>0</v>
      </c>
      <c r="AF327" s="22">
        <v>9000</v>
      </c>
      <c r="AG327" s="22">
        <v>0</v>
      </c>
      <c r="AH327" s="22">
        <v>0</v>
      </c>
      <c r="AI327" s="22">
        <v>1050</v>
      </c>
      <c r="AJ327" s="22">
        <v>0</v>
      </c>
      <c r="AK327" s="22">
        <v>0</v>
      </c>
      <c r="AL327" s="22">
        <v>0</v>
      </c>
      <c r="AM327" s="22">
        <v>0</v>
      </c>
      <c r="AN327" s="22">
        <v>0</v>
      </c>
      <c r="AO327" s="22">
        <v>0</v>
      </c>
      <c r="AP327" s="22">
        <v>0</v>
      </c>
      <c r="AQ327" s="22">
        <v>0</v>
      </c>
      <c r="AR327" s="22">
        <v>0</v>
      </c>
      <c r="AS327" s="22">
        <v>0</v>
      </c>
      <c r="AT327" s="22">
        <v>0</v>
      </c>
      <c r="AU327" s="19">
        <f t="shared" si="12"/>
        <v>10050</v>
      </c>
      <c r="AV327" s="22">
        <v>14950</v>
      </c>
      <c r="AW327" s="24" t="s">
        <v>54</v>
      </c>
      <c r="AX327" s="25">
        <v>45789</v>
      </c>
      <c r="AY327" s="15"/>
      <c r="AZ327" s="26"/>
      <c r="BA327" s="27">
        <f t="shared" si="8"/>
        <v>0</v>
      </c>
      <c r="BB327" s="14"/>
      <c r="BC327" s="28"/>
    </row>
    <row r="328" spans="1:55" ht="21" x14ac:dyDescent="0.4">
      <c r="A328" s="15">
        <v>327</v>
      </c>
      <c r="B328" s="16">
        <v>28100</v>
      </c>
      <c r="C328" s="17" t="s">
        <v>528</v>
      </c>
      <c r="D328" s="16" t="s">
        <v>482</v>
      </c>
      <c r="E328" s="16" t="s">
        <v>534</v>
      </c>
      <c r="F328" s="16">
        <v>30</v>
      </c>
      <c r="G328" s="16">
        <v>30</v>
      </c>
      <c r="H328" s="18">
        <f t="shared" si="7"/>
        <v>0</v>
      </c>
      <c r="I328" s="19">
        <f t="shared" si="9"/>
        <v>0</v>
      </c>
      <c r="J328" s="16">
        <v>0</v>
      </c>
      <c r="K328" s="20">
        <v>0</v>
      </c>
      <c r="L328" s="21"/>
      <c r="M328" s="21"/>
      <c r="N328" s="16">
        <v>0</v>
      </c>
      <c r="O328" s="16">
        <v>0</v>
      </c>
      <c r="P328" s="16">
        <v>0</v>
      </c>
      <c r="Q328" s="16">
        <v>0</v>
      </c>
      <c r="R328" s="16">
        <v>0</v>
      </c>
      <c r="S328" s="22">
        <v>16000</v>
      </c>
      <c r="T328" s="19">
        <f t="shared" si="10"/>
        <v>0</v>
      </c>
      <c r="U328" s="19">
        <f t="shared" si="11"/>
        <v>16000</v>
      </c>
      <c r="V328" s="22">
        <v>16000</v>
      </c>
      <c r="W328" s="31">
        <v>0</v>
      </c>
      <c r="X328" s="22">
        <v>0</v>
      </c>
      <c r="Y328" s="22">
        <v>0</v>
      </c>
      <c r="Z328" s="22">
        <v>0</v>
      </c>
      <c r="AA328" s="22">
        <v>0</v>
      </c>
      <c r="AB328" s="22">
        <v>0</v>
      </c>
      <c r="AC328" s="22">
        <v>0</v>
      </c>
      <c r="AD328" s="22">
        <v>0</v>
      </c>
      <c r="AE328" s="22">
        <v>0</v>
      </c>
      <c r="AF328" s="22">
        <v>0</v>
      </c>
      <c r="AG328" s="22">
        <v>0</v>
      </c>
      <c r="AH328" s="22">
        <v>0</v>
      </c>
      <c r="AI328" s="22">
        <v>1050</v>
      </c>
      <c r="AJ328" s="22">
        <v>0</v>
      </c>
      <c r="AK328" s="22">
        <v>0</v>
      </c>
      <c r="AL328" s="22">
        <v>0</v>
      </c>
      <c r="AM328" s="22">
        <v>0</v>
      </c>
      <c r="AN328" s="22">
        <v>0</v>
      </c>
      <c r="AO328" s="22">
        <v>0</v>
      </c>
      <c r="AP328" s="22">
        <v>0</v>
      </c>
      <c r="AQ328" s="22">
        <v>0</v>
      </c>
      <c r="AR328" s="22">
        <v>0</v>
      </c>
      <c r="AS328" s="22">
        <v>0</v>
      </c>
      <c r="AT328" s="22">
        <v>0</v>
      </c>
      <c r="AU328" s="19">
        <f t="shared" si="12"/>
        <v>1050</v>
      </c>
      <c r="AV328" s="22">
        <v>14950</v>
      </c>
      <c r="AW328" s="24" t="s">
        <v>54</v>
      </c>
      <c r="AX328" s="25">
        <v>45789</v>
      </c>
      <c r="AY328" s="15"/>
      <c r="AZ328" s="26"/>
      <c r="BA328" s="27">
        <f t="shared" si="8"/>
        <v>1.8189894035458565E-12</v>
      </c>
      <c r="BB328" s="14"/>
      <c r="BC328" s="28"/>
    </row>
    <row r="329" spans="1:55" ht="28.8" x14ac:dyDescent="0.4">
      <c r="A329" s="15">
        <v>328</v>
      </c>
      <c r="B329" s="16">
        <v>27099</v>
      </c>
      <c r="C329" s="17" t="s">
        <v>528</v>
      </c>
      <c r="D329" s="16" t="s">
        <v>280</v>
      </c>
      <c r="E329" s="16" t="s">
        <v>535</v>
      </c>
      <c r="F329" s="16">
        <v>30</v>
      </c>
      <c r="G329" s="16">
        <v>14</v>
      </c>
      <c r="H329" s="18">
        <f t="shared" si="7"/>
        <v>16</v>
      </c>
      <c r="I329" s="19">
        <f t="shared" si="9"/>
        <v>13333.333333333334</v>
      </c>
      <c r="J329" s="16">
        <v>1</v>
      </c>
      <c r="K329" s="20">
        <v>0</v>
      </c>
      <c r="L329" s="21"/>
      <c r="M329" s="21"/>
      <c r="N329" s="16">
        <v>0</v>
      </c>
      <c r="O329" s="16">
        <v>0</v>
      </c>
      <c r="P329" s="16">
        <v>0</v>
      </c>
      <c r="Q329" s="16">
        <v>0</v>
      </c>
      <c r="R329" s="16">
        <v>16</v>
      </c>
      <c r="S329" s="32">
        <v>25000</v>
      </c>
      <c r="T329" s="19">
        <f t="shared" si="10"/>
        <v>0</v>
      </c>
      <c r="U329" s="19">
        <f t="shared" si="11"/>
        <v>11666</v>
      </c>
      <c r="V329" s="22">
        <v>10833</v>
      </c>
      <c r="W329" s="31">
        <v>833</v>
      </c>
      <c r="X329" s="22">
        <v>0</v>
      </c>
      <c r="Y329" s="22">
        <v>0</v>
      </c>
      <c r="Z329" s="22">
        <v>0</v>
      </c>
      <c r="AA329" s="22">
        <v>0</v>
      </c>
      <c r="AB329" s="22">
        <v>0</v>
      </c>
      <c r="AC329" s="22">
        <v>0</v>
      </c>
      <c r="AD329" s="22">
        <v>0</v>
      </c>
      <c r="AE329" s="22">
        <v>0</v>
      </c>
      <c r="AF329" s="22">
        <v>0</v>
      </c>
      <c r="AG329" s="22">
        <v>0</v>
      </c>
      <c r="AH329" s="22">
        <v>0</v>
      </c>
      <c r="AI329" s="22">
        <v>490</v>
      </c>
      <c r="AJ329" s="22">
        <v>9566</v>
      </c>
      <c r="AK329" s="22">
        <v>0</v>
      </c>
      <c r="AL329" s="22">
        <v>0</v>
      </c>
      <c r="AM329" s="22">
        <v>0</v>
      </c>
      <c r="AN329" s="22">
        <v>0</v>
      </c>
      <c r="AO329" s="22">
        <v>0</v>
      </c>
      <c r="AP329" s="22">
        <v>0</v>
      </c>
      <c r="AQ329" s="22">
        <v>0</v>
      </c>
      <c r="AR329" s="22">
        <v>0</v>
      </c>
      <c r="AS329" s="22">
        <v>0</v>
      </c>
      <c r="AT329" s="22">
        <v>0</v>
      </c>
      <c r="AU329" s="19">
        <f t="shared" si="12"/>
        <v>10056</v>
      </c>
      <c r="AV329" s="22">
        <f>11176.67-9566</f>
        <v>1610.67</v>
      </c>
      <c r="AW329" s="24"/>
      <c r="AX329" s="34"/>
      <c r="AY329" s="15"/>
      <c r="AZ329" s="26"/>
      <c r="BA329" s="27">
        <f t="shared" si="8"/>
        <v>-3.3333333321934333E-3</v>
      </c>
      <c r="BB329" s="14"/>
      <c r="BC329" s="28"/>
    </row>
    <row r="330" spans="1:55" ht="28.8" x14ac:dyDescent="0.4">
      <c r="A330" s="15">
        <v>329</v>
      </c>
      <c r="B330" s="16">
        <v>32128</v>
      </c>
      <c r="C330" s="17" t="s">
        <v>528</v>
      </c>
      <c r="D330" s="16" t="s">
        <v>212</v>
      </c>
      <c r="E330" s="16" t="s">
        <v>536</v>
      </c>
      <c r="F330" s="16">
        <v>30</v>
      </c>
      <c r="G330" s="16">
        <v>30</v>
      </c>
      <c r="H330" s="18">
        <f t="shared" si="7"/>
        <v>0</v>
      </c>
      <c r="I330" s="19">
        <f t="shared" si="9"/>
        <v>0</v>
      </c>
      <c r="J330" s="16">
        <v>1</v>
      </c>
      <c r="K330" s="20">
        <v>0</v>
      </c>
      <c r="L330" s="21"/>
      <c r="M330" s="21"/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32">
        <v>17600</v>
      </c>
      <c r="T330" s="19">
        <f t="shared" si="10"/>
        <v>0</v>
      </c>
      <c r="U330" s="19">
        <f t="shared" si="11"/>
        <v>17600</v>
      </c>
      <c r="V330" s="22">
        <v>17013</v>
      </c>
      <c r="W330" s="31">
        <v>587</v>
      </c>
      <c r="X330" s="22">
        <v>0</v>
      </c>
      <c r="Y330" s="22">
        <v>0</v>
      </c>
      <c r="Z330" s="22">
        <v>0</v>
      </c>
      <c r="AA330" s="22">
        <v>0</v>
      </c>
      <c r="AB330" s="22">
        <v>0</v>
      </c>
      <c r="AC330" s="22">
        <v>525</v>
      </c>
      <c r="AD330" s="22">
        <v>0</v>
      </c>
      <c r="AE330" s="22">
        <v>0</v>
      </c>
      <c r="AF330" s="22">
        <v>0</v>
      </c>
      <c r="AG330" s="22">
        <v>0</v>
      </c>
      <c r="AH330" s="22">
        <v>0</v>
      </c>
      <c r="AI330" s="22">
        <v>1050</v>
      </c>
      <c r="AJ330" s="22">
        <v>0</v>
      </c>
      <c r="AK330" s="22">
        <v>0</v>
      </c>
      <c r="AL330" s="22">
        <v>0</v>
      </c>
      <c r="AM330" s="22">
        <v>0</v>
      </c>
      <c r="AN330" s="22">
        <v>0</v>
      </c>
      <c r="AO330" s="22">
        <v>0</v>
      </c>
      <c r="AP330" s="22">
        <v>0</v>
      </c>
      <c r="AQ330" s="22">
        <v>0</v>
      </c>
      <c r="AR330" s="22">
        <v>0</v>
      </c>
      <c r="AS330" s="22">
        <v>0</v>
      </c>
      <c r="AT330" s="22">
        <v>0</v>
      </c>
      <c r="AU330" s="19">
        <f t="shared" si="12"/>
        <v>1575</v>
      </c>
      <c r="AV330" s="22">
        <v>16025</v>
      </c>
      <c r="AW330" s="24" t="s">
        <v>54</v>
      </c>
      <c r="AX330" s="25">
        <v>45789</v>
      </c>
      <c r="AY330" s="15"/>
      <c r="AZ330" s="26"/>
      <c r="BA330" s="27">
        <f t="shared" si="8"/>
        <v>0</v>
      </c>
      <c r="BB330" s="14"/>
      <c r="BC330" s="28"/>
    </row>
    <row r="331" spans="1:55" ht="28.8" x14ac:dyDescent="0.4">
      <c r="A331" s="15">
        <v>330</v>
      </c>
      <c r="B331" s="16">
        <v>28144</v>
      </c>
      <c r="C331" s="17" t="s">
        <v>528</v>
      </c>
      <c r="D331" s="16" t="s">
        <v>212</v>
      </c>
      <c r="E331" s="16" t="s">
        <v>537</v>
      </c>
      <c r="F331" s="16">
        <v>30</v>
      </c>
      <c r="G331" s="16">
        <v>30</v>
      </c>
      <c r="H331" s="18">
        <f t="shared" si="7"/>
        <v>0</v>
      </c>
      <c r="I331" s="19">
        <f t="shared" si="9"/>
        <v>0</v>
      </c>
      <c r="J331" s="16">
        <v>0</v>
      </c>
      <c r="K331" s="20">
        <v>0</v>
      </c>
      <c r="L331" s="21"/>
      <c r="M331" s="21"/>
      <c r="N331" s="16">
        <v>0</v>
      </c>
      <c r="O331" s="16">
        <v>0</v>
      </c>
      <c r="P331" s="16">
        <v>0</v>
      </c>
      <c r="Q331" s="16">
        <v>0</v>
      </c>
      <c r="R331" s="16">
        <v>0</v>
      </c>
      <c r="S331" s="22">
        <v>23100</v>
      </c>
      <c r="T331" s="19">
        <f t="shared" si="10"/>
        <v>0</v>
      </c>
      <c r="U331" s="19">
        <f t="shared" si="11"/>
        <v>23100</v>
      </c>
      <c r="V331" s="22">
        <v>23100</v>
      </c>
      <c r="W331" s="31">
        <v>0</v>
      </c>
      <c r="X331" s="22">
        <v>0</v>
      </c>
      <c r="Y331" s="22">
        <v>0</v>
      </c>
      <c r="Z331" s="22">
        <v>0</v>
      </c>
      <c r="AA331" s="22">
        <v>0</v>
      </c>
      <c r="AB331" s="22">
        <v>0</v>
      </c>
      <c r="AC331" s="22">
        <v>575</v>
      </c>
      <c r="AD331" s="22">
        <v>0</v>
      </c>
      <c r="AE331" s="22">
        <v>0</v>
      </c>
      <c r="AF331" s="22">
        <v>3000</v>
      </c>
      <c r="AG331" s="22">
        <v>0</v>
      </c>
      <c r="AH331" s="22">
        <v>0</v>
      </c>
      <c r="AI331" s="22">
        <v>1050</v>
      </c>
      <c r="AJ331" s="22">
        <v>0</v>
      </c>
      <c r="AK331" s="22">
        <v>0</v>
      </c>
      <c r="AL331" s="22">
        <v>0</v>
      </c>
      <c r="AM331" s="22">
        <v>0</v>
      </c>
      <c r="AN331" s="22">
        <v>0</v>
      </c>
      <c r="AO331" s="22">
        <v>0</v>
      </c>
      <c r="AP331" s="22">
        <v>0</v>
      </c>
      <c r="AQ331" s="22">
        <v>0</v>
      </c>
      <c r="AR331" s="22">
        <v>0</v>
      </c>
      <c r="AS331" s="22">
        <v>0</v>
      </c>
      <c r="AT331" s="22">
        <v>0</v>
      </c>
      <c r="AU331" s="19">
        <f t="shared" si="12"/>
        <v>4625</v>
      </c>
      <c r="AV331" s="22">
        <v>18475</v>
      </c>
      <c r="AW331" s="24" t="s">
        <v>54</v>
      </c>
      <c r="AX331" s="25">
        <v>45789</v>
      </c>
      <c r="AY331" s="15"/>
      <c r="AZ331" s="26"/>
      <c r="BA331" s="27">
        <f t="shared" si="8"/>
        <v>0</v>
      </c>
      <c r="BB331" s="14"/>
      <c r="BC331" s="28"/>
    </row>
    <row r="332" spans="1:55" ht="28.8" x14ac:dyDescent="0.4">
      <c r="A332" s="15">
        <v>331</v>
      </c>
      <c r="B332" s="16">
        <v>28153</v>
      </c>
      <c r="C332" s="17" t="s">
        <v>528</v>
      </c>
      <c r="D332" s="16" t="s">
        <v>538</v>
      </c>
      <c r="E332" s="16" t="s">
        <v>539</v>
      </c>
      <c r="F332" s="16">
        <v>30</v>
      </c>
      <c r="G332" s="16">
        <v>28</v>
      </c>
      <c r="H332" s="18">
        <f t="shared" si="7"/>
        <v>2</v>
      </c>
      <c r="I332" s="19">
        <f t="shared" si="9"/>
        <v>1666.6666666666667</v>
      </c>
      <c r="J332" s="16">
        <v>0</v>
      </c>
      <c r="K332" s="20">
        <v>0</v>
      </c>
      <c r="L332" s="21"/>
      <c r="M332" s="21"/>
      <c r="N332" s="16">
        <v>0</v>
      </c>
      <c r="O332" s="16">
        <v>0</v>
      </c>
      <c r="P332" s="16">
        <v>2</v>
      </c>
      <c r="Q332" s="16">
        <v>0</v>
      </c>
      <c r="R332" s="16">
        <v>0</v>
      </c>
      <c r="S332" s="32">
        <v>25000</v>
      </c>
      <c r="T332" s="19">
        <f t="shared" si="10"/>
        <v>0</v>
      </c>
      <c r="U332" s="19">
        <f t="shared" si="11"/>
        <v>23333</v>
      </c>
      <c r="V332" s="22">
        <v>23333</v>
      </c>
      <c r="W332" s="31">
        <v>0</v>
      </c>
      <c r="X332" s="22">
        <v>0</v>
      </c>
      <c r="Y332" s="22">
        <v>0</v>
      </c>
      <c r="Z332" s="22">
        <v>0</v>
      </c>
      <c r="AA332" s="22">
        <v>0</v>
      </c>
      <c r="AB332" s="22">
        <v>0</v>
      </c>
      <c r="AC332" s="22">
        <v>0</v>
      </c>
      <c r="AD332" s="22">
        <v>0</v>
      </c>
      <c r="AE332" s="22">
        <v>0</v>
      </c>
      <c r="AF332" s="22">
        <v>0</v>
      </c>
      <c r="AG332" s="22">
        <v>0</v>
      </c>
      <c r="AH332" s="22">
        <v>0</v>
      </c>
      <c r="AI332" s="22">
        <v>980</v>
      </c>
      <c r="AJ332" s="22">
        <v>0</v>
      </c>
      <c r="AK332" s="22">
        <v>0</v>
      </c>
      <c r="AL332" s="22">
        <v>0</v>
      </c>
      <c r="AM332" s="22">
        <v>0</v>
      </c>
      <c r="AN332" s="22">
        <v>0</v>
      </c>
      <c r="AO332" s="22">
        <v>0</v>
      </c>
      <c r="AP332" s="22">
        <v>0</v>
      </c>
      <c r="AQ332" s="22">
        <v>0</v>
      </c>
      <c r="AR332" s="22">
        <v>0</v>
      </c>
      <c r="AS332" s="22">
        <v>0</v>
      </c>
      <c r="AT332" s="22">
        <v>0</v>
      </c>
      <c r="AU332" s="19">
        <f t="shared" si="12"/>
        <v>980</v>
      </c>
      <c r="AV332" s="22">
        <f>22388.33-35</f>
        <v>22353.33</v>
      </c>
      <c r="AW332" s="24" t="s">
        <v>54</v>
      </c>
      <c r="AX332" s="25">
        <v>45789</v>
      </c>
      <c r="AY332" s="15"/>
      <c r="AZ332" s="26"/>
      <c r="BA332" s="27">
        <f t="shared" si="8"/>
        <v>3.3333333340124227E-3</v>
      </c>
      <c r="BB332" s="14"/>
      <c r="BC332" s="28"/>
    </row>
    <row r="333" spans="1:55" ht="28.8" x14ac:dyDescent="0.4">
      <c r="A333" s="15">
        <v>332</v>
      </c>
      <c r="B333" s="16">
        <v>28154</v>
      </c>
      <c r="C333" s="17" t="s">
        <v>528</v>
      </c>
      <c r="D333" s="16" t="s">
        <v>538</v>
      </c>
      <c r="E333" s="16" t="s">
        <v>540</v>
      </c>
      <c r="F333" s="16">
        <v>30</v>
      </c>
      <c r="G333" s="16">
        <v>26</v>
      </c>
      <c r="H333" s="18">
        <f t="shared" si="7"/>
        <v>4</v>
      </c>
      <c r="I333" s="19">
        <f t="shared" si="9"/>
        <v>2666.6666666666665</v>
      </c>
      <c r="J333" s="16">
        <v>0</v>
      </c>
      <c r="K333" s="20">
        <v>0</v>
      </c>
      <c r="L333" s="21"/>
      <c r="M333" s="21"/>
      <c r="N333" s="16">
        <v>0</v>
      </c>
      <c r="O333" s="16">
        <v>0</v>
      </c>
      <c r="P333" s="16">
        <v>1</v>
      </c>
      <c r="Q333" s="16">
        <v>0</v>
      </c>
      <c r="R333" s="16">
        <v>3</v>
      </c>
      <c r="S333" s="32">
        <v>20000</v>
      </c>
      <c r="T333" s="19">
        <f t="shared" si="10"/>
        <v>0</v>
      </c>
      <c r="U333" s="19">
        <f t="shared" si="11"/>
        <v>17333</v>
      </c>
      <c r="V333" s="22">
        <v>17333</v>
      </c>
      <c r="W333" s="31">
        <v>0</v>
      </c>
      <c r="X333" s="22">
        <v>0</v>
      </c>
      <c r="Y333" s="22">
        <v>0</v>
      </c>
      <c r="Z333" s="22">
        <v>0</v>
      </c>
      <c r="AA333" s="22">
        <v>0</v>
      </c>
      <c r="AB333" s="22">
        <v>0</v>
      </c>
      <c r="AC333" s="22">
        <v>575</v>
      </c>
      <c r="AD333" s="22">
        <v>0</v>
      </c>
      <c r="AE333" s="22">
        <v>0</v>
      </c>
      <c r="AF333" s="22">
        <v>2000</v>
      </c>
      <c r="AG333" s="22">
        <v>0</v>
      </c>
      <c r="AH333" s="22">
        <v>0</v>
      </c>
      <c r="AI333" s="22">
        <v>910</v>
      </c>
      <c r="AJ333" s="22">
        <v>0</v>
      </c>
      <c r="AK333" s="22">
        <v>0</v>
      </c>
      <c r="AL333" s="22">
        <v>0</v>
      </c>
      <c r="AM333" s="22">
        <v>0</v>
      </c>
      <c r="AN333" s="22">
        <v>0</v>
      </c>
      <c r="AO333" s="22">
        <v>0</v>
      </c>
      <c r="AP333" s="22">
        <v>0</v>
      </c>
      <c r="AQ333" s="22">
        <v>0</v>
      </c>
      <c r="AR333" s="22">
        <v>0</v>
      </c>
      <c r="AS333" s="22">
        <v>0</v>
      </c>
      <c r="AT333" s="22">
        <v>0</v>
      </c>
      <c r="AU333" s="19">
        <f t="shared" si="12"/>
        <v>3485</v>
      </c>
      <c r="AV333" s="22">
        <v>13848.33</v>
      </c>
      <c r="AW333" s="24" t="s">
        <v>54</v>
      </c>
      <c r="AX333" s="25">
        <v>45789</v>
      </c>
      <c r="AY333" s="15"/>
      <c r="AZ333" s="26"/>
      <c r="BA333" s="27">
        <f t="shared" si="8"/>
        <v>3.3333333321934333E-3</v>
      </c>
      <c r="BB333" s="14"/>
      <c r="BC333" s="28"/>
    </row>
    <row r="334" spans="1:55" ht="28.8" x14ac:dyDescent="0.4">
      <c r="A334" s="15">
        <v>333</v>
      </c>
      <c r="B334" s="16">
        <v>28158</v>
      </c>
      <c r="C334" s="17" t="s">
        <v>528</v>
      </c>
      <c r="D334" s="16" t="s">
        <v>538</v>
      </c>
      <c r="E334" s="16" t="s">
        <v>541</v>
      </c>
      <c r="F334" s="16">
        <v>30</v>
      </c>
      <c r="G334" s="16">
        <v>30</v>
      </c>
      <c r="H334" s="18">
        <f t="shared" si="7"/>
        <v>0</v>
      </c>
      <c r="I334" s="19">
        <f t="shared" si="9"/>
        <v>0</v>
      </c>
      <c r="J334" s="16">
        <v>0</v>
      </c>
      <c r="K334" s="20">
        <v>0</v>
      </c>
      <c r="L334" s="21"/>
      <c r="M334" s="21"/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32">
        <v>20000</v>
      </c>
      <c r="T334" s="19">
        <f t="shared" si="10"/>
        <v>0</v>
      </c>
      <c r="U334" s="19">
        <f t="shared" si="11"/>
        <v>20000</v>
      </c>
      <c r="V334" s="22">
        <v>20000</v>
      </c>
      <c r="W334" s="31">
        <v>0</v>
      </c>
      <c r="X334" s="22">
        <v>0</v>
      </c>
      <c r="Y334" s="22">
        <v>0</v>
      </c>
      <c r="Z334" s="22">
        <v>0</v>
      </c>
      <c r="AA334" s="22">
        <v>0</v>
      </c>
      <c r="AB334" s="22">
        <v>0</v>
      </c>
      <c r="AC334" s="22">
        <v>0</v>
      </c>
      <c r="AD334" s="22">
        <v>0</v>
      </c>
      <c r="AE334" s="22">
        <v>0</v>
      </c>
      <c r="AF334" s="22">
        <v>0</v>
      </c>
      <c r="AG334" s="22">
        <v>0</v>
      </c>
      <c r="AH334" s="22">
        <v>0</v>
      </c>
      <c r="AI334" s="22">
        <v>1050</v>
      </c>
      <c r="AJ334" s="22">
        <v>0</v>
      </c>
      <c r="AK334" s="22">
        <v>0</v>
      </c>
      <c r="AL334" s="22">
        <v>0</v>
      </c>
      <c r="AM334" s="22">
        <v>0</v>
      </c>
      <c r="AN334" s="22">
        <v>0</v>
      </c>
      <c r="AO334" s="22">
        <v>0</v>
      </c>
      <c r="AP334" s="22">
        <v>0</v>
      </c>
      <c r="AQ334" s="22">
        <v>0</v>
      </c>
      <c r="AR334" s="22">
        <v>0</v>
      </c>
      <c r="AS334" s="22">
        <v>0</v>
      </c>
      <c r="AT334" s="22">
        <v>0</v>
      </c>
      <c r="AU334" s="19">
        <f t="shared" si="12"/>
        <v>1050</v>
      </c>
      <c r="AV334" s="22">
        <v>18950</v>
      </c>
      <c r="AW334" s="24" t="s">
        <v>54</v>
      </c>
      <c r="AX334" s="25">
        <v>45789</v>
      </c>
      <c r="AY334" s="15"/>
      <c r="AZ334" s="26"/>
      <c r="BA334" s="27">
        <f t="shared" si="8"/>
        <v>0</v>
      </c>
      <c r="BB334" s="14"/>
      <c r="BC334" s="28"/>
    </row>
    <row r="335" spans="1:55" ht="28.8" x14ac:dyDescent="0.4">
      <c r="A335" s="15">
        <v>334</v>
      </c>
      <c r="B335" s="16">
        <v>80486</v>
      </c>
      <c r="C335" s="17" t="s">
        <v>528</v>
      </c>
      <c r="D335" s="16" t="s">
        <v>482</v>
      </c>
      <c r="E335" s="16" t="s">
        <v>542</v>
      </c>
      <c r="F335" s="16">
        <v>30</v>
      </c>
      <c r="G335" s="16">
        <v>30</v>
      </c>
      <c r="H335" s="18">
        <f t="shared" si="7"/>
        <v>0</v>
      </c>
      <c r="I335" s="19">
        <f t="shared" si="9"/>
        <v>0</v>
      </c>
      <c r="J335" s="16">
        <v>0</v>
      </c>
      <c r="K335" s="20">
        <v>0</v>
      </c>
      <c r="L335" s="21"/>
      <c r="M335" s="21"/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22">
        <v>16000</v>
      </c>
      <c r="T335" s="19">
        <f t="shared" si="10"/>
        <v>0</v>
      </c>
      <c r="U335" s="19">
        <f t="shared" si="11"/>
        <v>16000</v>
      </c>
      <c r="V335" s="22">
        <v>16000</v>
      </c>
      <c r="W335" s="31">
        <v>0</v>
      </c>
      <c r="X335" s="22">
        <v>0</v>
      </c>
      <c r="Y335" s="22">
        <v>0</v>
      </c>
      <c r="Z335" s="22">
        <v>0</v>
      </c>
      <c r="AA335" s="22">
        <v>0</v>
      </c>
      <c r="AB335" s="22">
        <v>0</v>
      </c>
      <c r="AC335" s="22">
        <v>0</v>
      </c>
      <c r="AD335" s="22">
        <v>0</v>
      </c>
      <c r="AE335" s="22">
        <v>0</v>
      </c>
      <c r="AF335" s="22">
        <v>0</v>
      </c>
      <c r="AG335" s="22">
        <v>0</v>
      </c>
      <c r="AH335" s="22">
        <v>0</v>
      </c>
      <c r="AI335" s="22">
        <v>1050</v>
      </c>
      <c r="AJ335" s="22">
        <v>0</v>
      </c>
      <c r="AK335" s="22">
        <v>0</v>
      </c>
      <c r="AL335" s="22">
        <v>0</v>
      </c>
      <c r="AM335" s="22">
        <v>0</v>
      </c>
      <c r="AN335" s="22">
        <v>0</v>
      </c>
      <c r="AO335" s="22">
        <v>0</v>
      </c>
      <c r="AP335" s="22">
        <v>0</v>
      </c>
      <c r="AQ335" s="22">
        <v>0</v>
      </c>
      <c r="AR335" s="22">
        <v>0</v>
      </c>
      <c r="AS335" s="22">
        <v>0</v>
      </c>
      <c r="AT335" s="22">
        <v>0</v>
      </c>
      <c r="AU335" s="19">
        <f t="shared" si="12"/>
        <v>1050</v>
      </c>
      <c r="AV335" s="22">
        <v>14950</v>
      </c>
      <c r="AW335" s="24" t="s">
        <v>54</v>
      </c>
      <c r="AX335" s="25">
        <v>45790</v>
      </c>
      <c r="AY335" s="15"/>
      <c r="AZ335" s="26"/>
      <c r="BA335" s="27">
        <f t="shared" si="8"/>
        <v>1.8189894035458565E-12</v>
      </c>
      <c r="BB335" s="14"/>
      <c r="BC335" s="28"/>
    </row>
    <row r="336" spans="1:55" ht="28.8" x14ac:dyDescent="0.4">
      <c r="A336" s="15">
        <v>335</v>
      </c>
      <c r="B336" s="16">
        <v>80512</v>
      </c>
      <c r="C336" s="17" t="s">
        <v>528</v>
      </c>
      <c r="D336" s="16" t="s">
        <v>538</v>
      </c>
      <c r="E336" s="16" t="s">
        <v>543</v>
      </c>
      <c r="F336" s="16">
        <v>30</v>
      </c>
      <c r="G336" s="16">
        <v>30</v>
      </c>
      <c r="H336" s="18">
        <f t="shared" si="7"/>
        <v>0</v>
      </c>
      <c r="I336" s="19">
        <f t="shared" si="9"/>
        <v>0</v>
      </c>
      <c r="J336" s="16">
        <v>0</v>
      </c>
      <c r="K336" s="20">
        <v>0</v>
      </c>
      <c r="L336" s="21"/>
      <c r="M336" s="21"/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22">
        <v>16000</v>
      </c>
      <c r="T336" s="19">
        <f t="shared" si="10"/>
        <v>0</v>
      </c>
      <c r="U336" s="19">
        <f t="shared" si="11"/>
        <v>16000</v>
      </c>
      <c r="V336" s="22">
        <v>16000</v>
      </c>
      <c r="W336" s="31">
        <v>0</v>
      </c>
      <c r="X336" s="22">
        <v>0</v>
      </c>
      <c r="Y336" s="22">
        <v>0</v>
      </c>
      <c r="Z336" s="22">
        <v>0</v>
      </c>
      <c r="AA336" s="22">
        <v>0</v>
      </c>
      <c r="AB336" s="22">
        <v>0</v>
      </c>
      <c r="AC336" s="22">
        <v>0</v>
      </c>
      <c r="AD336" s="22">
        <v>0</v>
      </c>
      <c r="AE336" s="22">
        <v>0</v>
      </c>
      <c r="AF336" s="22">
        <v>0</v>
      </c>
      <c r="AG336" s="22">
        <v>0</v>
      </c>
      <c r="AH336" s="22">
        <v>0</v>
      </c>
      <c r="AI336" s="22">
        <v>1050</v>
      </c>
      <c r="AJ336" s="22">
        <v>0</v>
      </c>
      <c r="AK336" s="22">
        <v>0</v>
      </c>
      <c r="AL336" s="22">
        <v>0</v>
      </c>
      <c r="AM336" s="22">
        <v>0</v>
      </c>
      <c r="AN336" s="22">
        <v>0</v>
      </c>
      <c r="AO336" s="22">
        <v>0</v>
      </c>
      <c r="AP336" s="22">
        <v>0</v>
      </c>
      <c r="AQ336" s="22">
        <v>0</v>
      </c>
      <c r="AR336" s="22">
        <v>0</v>
      </c>
      <c r="AS336" s="22">
        <v>0</v>
      </c>
      <c r="AT336" s="22">
        <v>0</v>
      </c>
      <c r="AU336" s="19">
        <f t="shared" si="12"/>
        <v>1050</v>
      </c>
      <c r="AV336" s="22">
        <v>14950</v>
      </c>
      <c r="AW336" s="24" t="s">
        <v>54</v>
      </c>
      <c r="AX336" s="25">
        <v>45789</v>
      </c>
      <c r="AY336" s="15"/>
      <c r="AZ336" s="26"/>
      <c r="BA336" s="27">
        <f t="shared" si="8"/>
        <v>1.8189894035458565E-12</v>
      </c>
      <c r="BB336" s="14"/>
      <c r="BC336" s="28"/>
    </row>
    <row r="337" spans="1:55" ht="28.8" x14ac:dyDescent="0.4">
      <c r="A337" s="15">
        <v>336</v>
      </c>
      <c r="B337" s="16">
        <v>80559</v>
      </c>
      <c r="C337" s="17" t="s">
        <v>528</v>
      </c>
      <c r="D337" s="16" t="s">
        <v>221</v>
      </c>
      <c r="E337" s="16" t="s">
        <v>544</v>
      </c>
      <c r="F337" s="16">
        <v>30</v>
      </c>
      <c r="G337" s="16">
        <v>6</v>
      </c>
      <c r="H337" s="18">
        <f t="shared" si="7"/>
        <v>24</v>
      </c>
      <c r="I337" s="19">
        <f t="shared" si="9"/>
        <v>12800</v>
      </c>
      <c r="J337" s="16">
        <v>0</v>
      </c>
      <c r="K337" s="20">
        <v>0</v>
      </c>
      <c r="L337" s="21"/>
      <c r="M337" s="21"/>
      <c r="N337" s="16">
        <v>0</v>
      </c>
      <c r="O337" s="16">
        <v>0</v>
      </c>
      <c r="P337" s="16">
        <v>0</v>
      </c>
      <c r="Q337" s="16">
        <v>0</v>
      </c>
      <c r="R337" s="16">
        <v>24</v>
      </c>
      <c r="S337" s="22">
        <v>16000</v>
      </c>
      <c r="T337" s="19">
        <f t="shared" si="10"/>
        <v>0</v>
      </c>
      <c r="U337" s="19">
        <f t="shared" si="11"/>
        <v>3200</v>
      </c>
      <c r="V337" s="22">
        <v>3200</v>
      </c>
      <c r="W337" s="31">
        <v>0</v>
      </c>
      <c r="X337" s="22">
        <v>0</v>
      </c>
      <c r="Y337" s="22">
        <v>0</v>
      </c>
      <c r="Z337" s="22">
        <v>0</v>
      </c>
      <c r="AA337" s="22">
        <v>0</v>
      </c>
      <c r="AB337" s="22">
        <v>0</v>
      </c>
      <c r="AC337" s="22">
        <v>0</v>
      </c>
      <c r="AD337" s="22">
        <v>0</v>
      </c>
      <c r="AE337" s="22">
        <v>0</v>
      </c>
      <c r="AF337" s="22">
        <v>0</v>
      </c>
      <c r="AG337" s="22">
        <v>0</v>
      </c>
      <c r="AH337" s="22">
        <v>0</v>
      </c>
      <c r="AI337" s="22">
        <v>210</v>
      </c>
      <c r="AJ337" s="22">
        <v>0</v>
      </c>
      <c r="AK337" s="22">
        <v>0</v>
      </c>
      <c r="AL337" s="22">
        <v>0</v>
      </c>
      <c r="AM337" s="22">
        <v>0</v>
      </c>
      <c r="AN337" s="22">
        <v>0</v>
      </c>
      <c r="AO337" s="22">
        <v>0</v>
      </c>
      <c r="AP337" s="22">
        <v>0</v>
      </c>
      <c r="AQ337" s="22">
        <v>0</v>
      </c>
      <c r="AR337" s="22">
        <v>0</v>
      </c>
      <c r="AS337" s="22">
        <v>0</v>
      </c>
      <c r="AT337" s="22">
        <v>0</v>
      </c>
      <c r="AU337" s="19">
        <f t="shared" si="12"/>
        <v>210</v>
      </c>
      <c r="AV337" s="22">
        <v>2990</v>
      </c>
      <c r="AW337" s="24" t="s">
        <v>54</v>
      </c>
      <c r="AX337" s="43"/>
      <c r="AY337" s="15"/>
      <c r="AZ337" s="26"/>
      <c r="BA337" s="27">
        <f t="shared" si="8"/>
        <v>0</v>
      </c>
      <c r="BB337" s="14"/>
      <c r="BC337" s="28"/>
    </row>
    <row r="338" spans="1:55" ht="28.8" x14ac:dyDescent="0.4">
      <c r="A338" s="15">
        <v>337</v>
      </c>
      <c r="B338" s="16">
        <v>80560</v>
      </c>
      <c r="C338" s="17" t="s">
        <v>528</v>
      </c>
      <c r="D338" s="16" t="s">
        <v>221</v>
      </c>
      <c r="E338" s="16" t="s">
        <v>545</v>
      </c>
      <c r="F338" s="16">
        <v>30</v>
      </c>
      <c r="G338" s="16">
        <v>17</v>
      </c>
      <c r="H338" s="18">
        <f t="shared" si="7"/>
        <v>13</v>
      </c>
      <c r="I338" s="19">
        <f t="shared" si="9"/>
        <v>6933.3333333333339</v>
      </c>
      <c r="J338" s="16">
        <v>0</v>
      </c>
      <c r="K338" s="20">
        <v>0</v>
      </c>
      <c r="L338" s="21"/>
      <c r="M338" s="21"/>
      <c r="N338" s="16">
        <v>0</v>
      </c>
      <c r="O338" s="16">
        <v>0</v>
      </c>
      <c r="P338" s="16">
        <v>0</v>
      </c>
      <c r="Q338" s="16">
        <v>0</v>
      </c>
      <c r="R338" s="16">
        <v>13</v>
      </c>
      <c r="S338" s="22">
        <v>16000</v>
      </c>
      <c r="T338" s="19">
        <f t="shared" si="10"/>
        <v>0</v>
      </c>
      <c r="U338" s="19">
        <f t="shared" si="11"/>
        <v>9067</v>
      </c>
      <c r="V338" s="22">
        <v>9067</v>
      </c>
      <c r="W338" s="31">
        <v>0</v>
      </c>
      <c r="X338" s="22">
        <v>0</v>
      </c>
      <c r="Y338" s="22">
        <v>0</v>
      </c>
      <c r="Z338" s="22">
        <v>0</v>
      </c>
      <c r="AA338" s="22">
        <v>0</v>
      </c>
      <c r="AB338" s="22">
        <v>0</v>
      </c>
      <c r="AC338" s="22">
        <v>0</v>
      </c>
      <c r="AD338" s="22">
        <v>0</v>
      </c>
      <c r="AE338" s="22">
        <v>0</v>
      </c>
      <c r="AF338" s="22">
        <v>0</v>
      </c>
      <c r="AG338" s="22">
        <v>0</v>
      </c>
      <c r="AH338" s="22">
        <v>0</v>
      </c>
      <c r="AI338" s="22">
        <v>595</v>
      </c>
      <c r="AJ338" s="22">
        <v>0</v>
      </c>
      <c r="AK338" s="22">
        <v>0</v>
      </c>
      <c r="AL338" s="22">
        <v>0</v>
      </c>
      <c r="AM338" s="22">
        <v>0</v>
      </c>
      <c r="AN338" s="22">
        <v>0</v>
      </c>
      <c r="AO338" s="22">
        <v>0</v>
      </c>
      <c r="AP338" s="22">
        <v>0</v>
      </c>
      <c r="AQ338" s="22">
        <v>0</v>
      </c>
      <c r="AR338" s="22">
        <v>0</v>
      </c>
      <c r="AS338" s="22">
        <v>0</v>
      </c>
      <c r="AT338" s="22">
        <v>0</v>
      </c>
      <c r="AU338" s="19">
        <f t="shared" si="12"/>
        <v>595</v>
      </c>
      <c r="AV338" s="22">
        <f>8471.67</f>
        <v>8471.67</v>
      </c>
      <c r="AW338" s="24" t="s">
        <v>54</v>
      </c>
      <c r="AX338" s="25">
        <v>45790</v>
      </c>
      <c r="AY338" s="15"/>
      <c r="AZ338" s="26"/>
      <c r="BA338" s="27">
        <f t="shared" si="8"/>
        <v>-3.3333333321934333E-3</v>
      </c>
      <c r="BB338" s="14"/>
      <c r="BC338" s="28"/>
    </row>
    <row r="339" spans="1:55" ht="28.8" x14ac:dyDescent="0.4">
      <c r="A339" s="15">
        <v>338</v>
      </c>
      <c r="B339" s="16">
        <v>80561</v>
      </c>
      <c r="C339" s="17" t="s">
        <v>528</v>
      </c>
      <c r="D339" s="16" t="s">
        <v>419</v>
      </c>
      <c r="E339" s="16" t="s">
        <v>546</v>
      </c>
      <c r="F339" s="16">
        <v>30</v>
      </c>
      <c r="G339" s="16">
        <v>28</v>
      </c>
      <c r="H339" s="18">
        <f t="shared" si="7"/>
        <v>2</v>
      </c>
      <c r="I339" s="19">
        <f t="shared" si="9"/>
        <v>1466.6666666666667</v>
      </c>
      <c r="J339" s="16">
        <v>0</v>
      </c>
      <c r="K339" s="20">
        <v>0</v>
      </c>
      <c r="L339" s="21"/>
      <c r="M339" s="21"/>
      <c r="N339" s="16">
        <v>0</v>
      </c>
      <c r="O339" s="16">
        <v>0</v>
      </c>
      <c r="P339" s="16">
        <v>0</v>
      </c>
      <c r="Q339" s="16">
        <v>0</v>
      </c>
      <c r="R339" s="16">
        <v>2</v>
      </c>
      <c r="S339" s="22">
        <v>22000</v>
      </c>
      <c r="T339" s="19">
        <f t="shared" si="10"/>
        <v>0</v>
      </c>
      <c r="U339" s="19">
        <f t="shared" si="11"/>
        <v>20533</v>
      </c>
      <c r="V339" s="22">
        <v>20533</v>
      </c>
      <c r="W339" s="31">
        <v>0</v>
      </c>
      <c r="X339" s="22">
        <v>0</v>
      </c>
      <c r="Y339" s="22">
        <v>0</v>
      </c>
      <c r="Z339" s="22">
        <v>0</v>
      </c>
      <c r="AA339" s="22">
        <v>0</v>
      </c>
      <c r="AB339" s="22">
        <v>0</v>
      </c>
      <c r="AC339" s="22">
        <f>3249-2674</f>
        <v>575</v>
      </c>
      <c r="AD339" s="22">
        <v>0</v>
      </c>
      <c r="AE339" s="22">
        <v>0</v>
      </c>
      <c r="AF339" s="22">
        <v>3000</v>
      </c>
      <c r="AG339" s="22">
        <v>0</v>
      </c>
      <c r="AH339" s="22">
        <v>0</v>
      </c>
      <c r="AI339" s="22">
        <v>980</v>
      </c>
      <c r="AJ339" s="22">
        <v>0</v>
      </c>
      <c r="AK339" s="22">
        <v>0</v>
      </c>
      <c r="AL339" s="22">
        <v>0</v>
      </c>
      <c r="AM339" s="22">
        <v>0</v>
      </c>
      <c r="AN339" s="22">
        <v>0</v>
      </c>
      <c r="AO339" s="22">
        <v>0</v>
      </c>
      <c r="AP339" s="22">
        <v>0</v>
      </c>
      <c r="AQ339" s="22">
        <v>0</v>
      </c>
      <c r="AR339" s="22">
        <v>0</v>
      </c>
      <c r="AS339" s="22">
        <v>0</v>
      </c>
      <c r="AT339" s="22">
        <v>0</v>
      </c>
      <c r="AU339" s="19">
        <f t="shared" si="12"/>
        <v>4555</v>
      </c>
      <c r="AV339" s="22">
        <f>13339.33+2674-35</f>
        <v>15978.33</v>
      </c>
      <c r="AW339" s="24" t="s">
        <v>54</v>
      </c>
      <c r="AX339" s="25">
        <v>45790</v>
      </c>
      <c r="AY339" s="15"/>
      <c r="AZ339" s="26"/>
      <c r="BA339" s="27">
        <f t="shared" si="8"/>
        <v>3.3333333358314121E-3</v>
      </c>
      <c r="BB339" s="14"/>
      <c r="BC339" s="28"/>
    </row>
    <row r="340" spans="1:55" ht="21" x14ac:dyDescent="0.4">
      <c r="A340" s="15">
        <v>339</v>
      </c>
      <c r="B340" s="16">
        <v>80575</v>
      </c>
      <c r="C340" s="17" t="s">
        <v>528</v>
      </c>
      <c r="D340" s="16" t="s">
        <v>538</v>
      </c>
      <c r="E340" s="16" t="s">
        <v>547</v>
      </c>
      <c r="F340" s="16">
        <v>30</v>
      </c>
      <c r="G340" s="16">
        <v>30</v>
      </c>
      <c r="H340" s="18">
        <f t="shared" si="7"/>
        <v>0</v>
      </c>
      <c r="I340" s="19">
        <f t="shared" si="9"/>
        <v>0</v>
      </c>
      <c r="J340" s="16">
        <v>0</v>
      </c>
      <c r="K340" s="20">
        <v>0</v>
      </c>
      <c r="L340" s="21"/>
      <c r="M340" s="21"/>
      <c r="N340" s="16">
        <v>0</v>
      </c>
      <c r="O340" s="16">
        <v>0</v>
      </c>
      <c r="P340" s="16">
        <v>0</v>
      </c>
      <c r="Q340" s="16">
        <v>0</v>
      </c>
      <c r="R340" s="16">
        <v>0</v>
      </c>
      <c r="S340" s="22">
        <v>16000</v>
      </c>
      <c r="T340" s="19">
        <f t="shared" si="10"/>
        <v>0</v>
      </c>
      <c r="U340" s="19">
        <f t="shared" si="11"/>
        <v>16000</v>
      </c>
      <c r="V340" s="22">
        <v>16000</v>
      </c>
      <c r="W340" s="31">
        <v>0</v>
      </c>
      <c r="X340" s="22">
        <v>0</v>
      </c>
      <c r="Y340" s="22">
        <v>0</v>
      </c>
      <c r="Z340" s="22">
        <v>0</v>
      </c>
      <c r="AA340" s="22">
        <v>0</v>
      </c>
      <c r="AB340" s="22">
        <v>0</v>
      </c>
      <c r="AC340" s="22">
        <v>0</v>
      </c>
      <c r="AD340" s="22">
        <v>0</v>
      </c>
      <c r="AE340" s="22">
        <v>0</v>
      </c>
      <c r="AF340" s="22">
        <v>14950</v>
      </c>
      <c r="AG340" s="22">
        <v>0</v>
      </c>
      <c r="AH340" s="22">
        <v>0</v>
      </c>
      <c r="AI340" s="22">
        <v>1050</v>
      </c>
      <c r="AJ340" s="22">
        <v>0</v>
      </c>
      <c r="AK340" s="22">
        <v>0</v>
      </c>
      <c r="AL340" s="22">
        <v>0</v>
      </c>
      <c r="AM340" s="22">
        <v>0</v>
      </c>
      <c r="AN340" s="22">
        <v>0</v>
      </c>
      <c r="AO340" s="22">
        <v>0</v>
      </c>
      <c r="AP340" s="22">
        <v>0</v>
      </c>
      <c r="AQ340" s="22">
        <v>0</v>
      </c>
      <c r="AR340" s="22">
        <v>0</v>
      </c>
      <c r="AS340" s="22">
        <v>0</v>
      </c>
      <c r="AT340" s="22">
        <v>0</v>
      </c>
      <c r="AU340" s="19">
        <f t="shared" si="12"/>
        <v>16000</v>
      </c>
      <c r="AV340" s="22">
        <v>0</v>
      </c>
      <c r="AW340" s="24"/>
      <c r="AX340" s="34"/>
      <c r="AY340" s="15"/>
      <c r="AZ340" s="26"/>
      <c r="BA340" s="27">
        <f t="shared" si="8"/>
        <v>1.8189894035458565E-12</v>
      </c>
      <c r="BB340" s="14"/>
      <c r="BC340" s="28"/>
    </row>
    <row r="341" spans="1:55" ht="42.6" x14ac:dyDescent="0.4">
      <c r="A341" s="15">
        <v>340</v>
      </c>
      <c r="B341" s="16">
        <v>80719</v>
      </c>
      <c r="C341" s="17" t="s">
        <v>528</v>
      </c>
      <c r="D341" s="16"/>
      <c r="E341" s="16" t="s">
        <v>548</v>
      </c>
      <c r="F341" s="16">
        <v>30</v>
      </c>
      <c r="G341" s="16">
        <v>26</v>
      </c>
      <c r="H341" s="18">
        <f t="shared" si="7"/>
        <v>4</v>
      </c>
      <c r="I341" s="19">
        <f t="shared" si="9"/>
        <v>3200</v>
      </c>
      <c r="J341" s="16">
        <v>1</v>
      </c>
      <c r="K341" s="20">
        <v>0</v>
      </c>
      <c r="L341" s="21"/>
      <c r="M341" s="21"/>
      <c r="N341" s="16">
        <v>0</v>
      </c>
      <c r="O341" s="16">
        <v>0</v>
      </c>
      <c r="P341" s="16">
        <v>4</v>
      </c>
      <c r="Q341" s="16">
        <v>0</v>
      </c>
      <c r="R341" s="16">
        <v>0</v>
      </c>
      <c r="S341" s="22">
        <v>24000</v>
      </c>
      <c r="T341" s="19">
        <f t="shared" si="10"/>
        <v>0</v>
      </c>
      <c r="U341" s="19">
        <f t="shared" si="11"/>
        <v>20800</v>
      </c>
      <c r="V341" s="22">
        <v>20000</v>
      </c>
      <c r="W341" s="31">
        <v>800</v>
      </c>
      <c r="X341" s="22">
        <v>0</v>
      </c>
      <c r="Y341" s="22">
        <v>0</v>
      </c>
      <c r="Z341" s="22">
        <v>0</v>
      </c>
      <c r="AA341" s="22">
        <v>0</v>
      </c>
      <c r="AB341" s="22">
        <v>0</v>
      </c>
      <c r="AC341" s="22">
        <v>0</v>
      </c>
      <c r="AD341" s="22">
        <v>0</v>
      </c>
      <c r="AE341" s="22">
        <v>0</v>
      </c>
      <c r="AF341" s="22">
        <v>4000</v>
      </c>
      <c r="AG341" s="22">
        <v>0</v>
      </c>
      <c r="AH341" s="22">
        <v>0</v>
      </c>
      <c r="AI341" s="22">
        <v>910</v>
      </c>
      <c r="AJ341" s="22">
        <v>0</v>
      </c>
      <c r="AK341" s="22">
        <v>0</v>
      </c>
      <c r="AL341" s="22">
        <v>0</v>
      </c>
      <c r="AM341" s="22">
        <v>0</v>
      </c>
      <c r="AN341" s="22">
        <v>0</v>
      </c>
      <c r="AO341" s="22">
        <v>0</v>
      </c>
      <c r="AP341" s="22">
        <v>0</v>
      </c>
      <c r="AQ341" s="22">
        <v>0</v>
      </c>
      <c r="AR341" s="22">
        <v>0</v>
      </c>
      <c r="AS341" s="22">
        <v>0</v>
      </c>
      <c r="AT341" s="22">
        <v>0</v>
      </c>
      <c r="AU341" s="19">
        <f t="shared" si="12"/>
        <v>4910</v>
      </c>
      <c r="AV341" s="22">
        <v>15890</v>
      </c>
      <c r="AW341" s="24" t="s">
        <v>54</v>
      </c>
      <c r="AX341" s="25">
        <v>45790</v>
      </c>
      <c r="AY341" s="15"/>
      <c r="AZ341" s="26"/>
      <c r="BA341" s="27">
        <f t="shared" si="8"/>
        <v>0</v>
      </c>
      <c r="BB341" s="14"/>
      <c r="BC341" s="28"/>
    </row>
    <row r="342" spans="1:55" ht="28.8" x14ac:dyDescent="0.4">
      <c r="A342" s="15">
        <v>341</v>
      </c>
      <c r="B342" s="16">
        <v>80753</v>
      </c>
      <c r="C342" s="17" t="s">
        <v>528</v>
      </c>
      <c r="D342" s="16" t="s">
        <v>221</v>
      </c>
      <c r="E342" s="16" t="s">
        <v>549</v>
      </c>
      <c r="F342" s="16">
        <v>30</v>
      </c>
      <c r="G342" s="16">
        <v>30</v>
      </c>
      <c r="H342" s="18">
        <f t="shared" si="7"/>
        <v>0</v>
      </c>
      <c r="I342" s="19">
        <f t="shared" si="9"/>
        <v>0</v>
      </c>
      <c r="J342" s="16">
        <v>0</v>
      </c>
      <c r="K342" s="20">
        <v>0</v>
      </c>
      <c r="L342" s="21"/>
      <c r="M342" s="21"/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22">
        <v>16000</v>
      </c>
      <c r="T342" s="19">
        <f t="shared" si="10"/>
        <v>0</v>
      </c>
      <c r="U342" s="19">
        <f t="shared" si="11"/>
        <v>16000</v>
      </c>
      <c r="V342" s="22">
        <v>16000</v>
      </c>
      <c r="W342" s="31">
        <v>0</v>
      </c>
      <c r="X342" s="22">
        <v>0</v>
      </c>
      <c r="Y342" s="22">
        <v>0</v>
      </c>
      <c r="Z342" s="22">
        <v>0</v>
      </c>
      <c r="AA342" s="22">
        <v>0</v>
      </c>
      <c r="AB342" s="22">
        <v>0</v>
      </c>
      <c r="AC342" s="22">
        <v>0</v>
      </c>
      <c r="AD342" s="22">
        <v>0</v>
      </c>
      <c r="AE342" s="22">
        <v>0</v>
      </c>
      <c r="AF342" s="22">
        <v>0</v>
      </c>
      <c r="AG342" s="22">
        <v>0</v>
      </c>
      <c r="AH342" s="22">
        <v>0</v>
      </c>
      <c r="AI342" s="22">
        <v>1050</v>
      </c>
      <c r="AJ342" s="22">
        <v>0</v>
      </c>
      <c r="AK342" s="22">
        <v>0</v>
      </c>
      <c r="AL342" s="22">
        <v>0</v>
      </c>
      <c r="AM342" s="22">
        <v>0</v>
      </c>
      <c r="AN342" s="22">
        <v>0</v>
      </c>
      <c r="AO342" s="22">
        <v>0</v>
      </c>
      <c r="AP342" s="22">
        <v>0</v>
      </c>
      <c r="AQ342" s="22">
        <v>0</v>
      </c>
      <c r="AR342" s="22">
        <v>0</v>
      </c>
      <c r="AS342" s="22">
        <v>0</v>
      </c>
      <c r="AT342" s="22">
        <v>0</v>
      </c>
      <c r="AU342" s="19">
        <f t="shared" si="12"/>
        <v>1050</v>
      </c>
      <c r="AV342" s="22">
        <v>14950</v>
      </c>
      <c r="AW342" s="24" t="s">
        <v>54</v>
      </c>
      <c r="AX342" s="25">
        <v>45789</v>
      </c>
      <c r="AY342" s="15"/>
      <c r="AZ342" s="26"/>
      <c r="BA342" s="27">
        <f t="shared" si="8"/>
        <v>1.8189894035458565E-12</v>
      </c>
      <c r="BB342" s="14"/>
      <c r="BC342" s="28"/>
    </row>
    <row r="343" spans="1:55" ht="28.8" x14ac:dyDescent="0.4">
      <c r="A343" s="15">
        <v>342</v>
      </c>
      <c r="B343" s="16">
        <v>80758</v>
      </c>
      <c r="C343" s="17" t="s">
        <v>528</v>
      </c>
      <c r="D343" s="16" t="s">
        <v>212</v>
      </c>
      <c r="E343" s="16" t="s">
        <v>550</v>
      </c>
      <c r="F343" s="16">
        <v>30</v>
      </c>
      <c r="G343" s="16">
        <v>26</v>
      </c>
      <c r="H343" s="18">
        <f t="shared" si="7"/>
        <v>4</v>
      </c>
      <c r="I343" s="19">
        <f t="shared" si="9"/>
        <v>2133.3333333333335</v>
      </c>
      <c r="J343" s="16">
        <v>0</v>
      </c>
      <c r="K343" s="20">
        <v>0</v>
      </c>
      <c r="L343" s="21"/>
      <c r="M343" s="21"/>
      <c r="N343" s="16">
        <v>0</v>
      </c>
      <c r="O343" s="16">
        <v>0</v>
      </c>
      <c r="P343" s="16">
        <v>0</v>
      </c>
      <c r="Q343" s="16">
        <v>0</v>
      </c>
      <c r="R343" s="16">
        <v>4</v>
      </c>
      <c r="S343" s="22">
        <v>16000</v>
      </c>
      <c r="T343" s="19">
        <f t="shared" si="10"/>
        <v>0</v>
      </c>
      <c r="U343" s="19">
        <f t="shared" si="11"/>
        <v>13867</v>
      </c>
      <c r="V343" s="22">
        <v>13867</v>
      </c>
      <c r="W343" s="31">
        <v>0</v>
      </c>
      <c r="X343" s="22">
        <v>0</v>
      </c>
      <c r="Y343" s="22">
        <v>0</v>
      </c>
      <c r="Z343" s="22">
        <v>0</v>
      </c>
      <c r="AA343" s="22">
        <v>0</v>
      </c>
      <c r="AB343" s="22">
        <v>0</v>
      </c>
      <c r="AC343" s="22">
        <v>0</v>
      </c>
      <c r="AD343" s="22">
        <v>0</v>
      </c>
      <c r="AE343" s="22">
        <v>0</v>
      </c>
      <c r="AF343" s="22">
        <v>0</v>
      </c>
      <c r="AG343" s="22">
        <v>0</v>
      </c>
      <c r="AH343" s="22">
        <v>0</v>
      </c>
      <c r="AI343" s="22">
        <v>910</v>
      </c>
      <c r="AJ343" s="22">
        <v>0</v>
      </c>
      <c r="AK343" s="22">
        <v>0</v>
      </c>
      <c r="AL343" s="22">
        <v>0</v>
      </c>
      <c r="AM343" s="22">
        <v>0</v>
      </c>
      <c r="AN343" s="22">
        <v>0</v>
      </c>
      <c r="AO343" s="22">
        <v>0</v>
      </c>
      <c r="AP343" s="22">
        <v>0</v>
      </c>
      <c r="AQ343" s="22">
        <v>0</v>
      </c>
      <c r="AR343" s="22">
        <v>0</v>
      </c>
      <c r="AS343" s="22">
        <v>0</v>
      </c>
      <c r="AT343" s="22">
        <v>0</v>
      </c>
      <c r="AU343" s="19">
        <f t="shared" si="12"/>
        <v>910</v>
      </c>
      <c r="AV343" s="22">
        <v>12956.67</v>
      </c>
      <c r="AW343" s="24" t="s">
        <v>54</v>
      </c>
      <c r="AX343" s="25">
        <v>45789</v>
      </c>
      <c r="AY343" s="15"/>
      <c r="AZ343" s="26"/>
      <c r="BA343" s="27">
        <f t="shared" si="8"/>
        <v>-3.3333333321934333E-3</v>
      </c>
      <c r="BB343" s="14"/>
      <c r="BC343" s="28"/>
    </row>
    <row r="344" spans="1:55" ht="28.8" x14ac:dyDescent="0.4">
      <c r="A344" s="15">
        <v>343</v>
      </c>
      <c r="B344" s="16">
        <v>80581</v>
      </c>
      <c r="C344" s="17" t="s">
        <v>551</v>
      </c>
      <c r="D344" s="16" t="s">
        <v>419</v>
      </c>
      <c r="E344" s="16" t="s">
        <v>552</v>
      </c>
      <c r="F344" s="16">
        <v>30</v>
      </c>
      <c r="G344" s="16">
        <v>30</v>
      </c>
      <c r="H344" s="18">
        <f t="shared" si="7"/>
        <v>0</v>
      </c>
      <c r="I344" s="19">
        <f t="shared" si="9"/>
        <v>0</v>
      </c>
      <c r="J344" s="16">
        <v>0</v>
      </c>
      <c r="K344" s="20">
        <v>0</v>
      </c>
      <c r="L344" s="21"/>
      <c r="M344" s="21"/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32">
        <v>30000</v>
      </c>
      <c r="T344" s="19">
        <f t="shared" si="10"/>
        <v>0</v>
      </c>
      <c r="U344" s="19">
        <f t="shared" si="11"/>
        <v>30000</v>
      </c>
      <c r="V344" s="22">
        <v>30000</v>
      </c>
      <c r="W344" s="31">
        <v>0</v>
      </c>
      <c r="X344" s="22">
        <v>0</v>
      </c>
      <c r="Y344" s="22">
        <v>0</v>
      </c>
      <c r="Z344" s="22">
        <v>0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1050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19">
        <f t="shared" si="12"/>
        <v>1050</v>
      </c>
      <c r="AV344" s="22">
        <f>30000-1050</f>
        <v>28950</v>
      </c>
      <c r="AW344" s="24" t="s">
        <v>54</v>
      </c>
      <c r="AX344" s="25">
        <v>45791</v>
      </c>
      <c r="AY344" s="15"/>
      <c r="AZ344" s="26"/>
      <c r="BA344" s="27">
        <f t="shared" si="8"/>
        <v>0</v>
      </c>
      <c r="BB344" s="14"/>
      <c r="BC344" s="28"/>
    </row>
    <row r="345" spans="1:55" ht="28.8" x14ac:dyDescent="0.4">
      <c r="A345" s="15">
        <v>344</v>
      </c>
      <c r="B345" s="16">
        <v>80619</v>
      </c>
      <c r="C345" s="17" t="s">
        <v>551</v>
      </c>
      <c r="D345" s="16" t="s">
        <v>538</v>
      </c>
      <c r="E345" s="16" t="s">
        <v>553</v>
      </c>
      <c r="F345" s="16">
        <v>30</v>
      </c>
      <c r="G345" s="16">
        <v>30</v>
      </c>
      <c r="H345" s="18">
        <f t="shared" si="7"/>
        <v>0</v>
      </c>
      <c r="I345" s="19">
        <f t="shared" si="9"/>
        <v>0</v>
      </c>
      <c r="J345" s="16">
        <v>0</v>
      </c>
      <c r="K345" s="20">
        <v>0</v>
      </c>
      <c r="L345" s="21"/>
      <c r="M345" s="21"/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32">
        <v>20000</v>
      </c>
      <c r="T345" s="19">
        <f t="shared" si="10"/>
        <v>0</v>
      </c>
      <c r="U345" s="19">
        <f t="shared" si="11"/>
        <v>20000</v>
      </c>
      <c r="V345" s="22">
        <v>20000</v>
      </c>
      <c r="W345" s="31">
        <v>0</v>
      </c>
      <c r="X345" s="22">
        <v>0</v>
      </c>
      <c r="Y345" s="22">
        <v>0</v>
      </c>
      <c r="Z345" s="22">
        <v>0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1050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19">
        <f t="shared" si="12"/>
        <v>1050</v>
      </c>
      <c r="AV345" s="22">
        <f>20000-1050</f>
        <v>18950</v>
      </c>
      <c r="AW345" s="24" t="s">
        <v>54</v>
      </c>
      <c r="AX345" s="25">
        <v>45789</v>
      </c>
      <c r="AY345" s="15"/>
      <c r="AZ345" s="26"/>
      <c r="BA345" s="27">
        <f t="shared" si="8"/>
        <v>0</v>
      </c>
      <c r="BB345" s="14"/>
      <c r="BC345" s="28"/>
    </row>
    <row r="346" spans="1:55" ht="21" x14ac:dyDescent="0.4">
      <c r="A346" s="15">
        <v>345</v>
      </c>
      <c r="B346" s="16">
        <v>80641</v>
      </c>
      <c r="C346" s="17" t="s">
        <v>551</v>
      </c>
      <c r="D346" s="16" t="s">
        <v>221</v>
      </c>
      <c r="E346" s="16" t="s">
        <v>554</v>
      </c>
      <c r="F346" s="16">
        <v>30</v>
      </c>
      <c r="G346" s="16">
        <v>11</v>
      </c>
      <c r="H346" s="18">
        <f t="shared" si="7"/>
        <v>19</v>
      </c>
      <c r="I346" s="19">
        <f t="shared" si="9"/>
        <v>10133.333333333334</v>
      </c>
      <c r="J346" s="16">
        <v>0</v>
      </c>
      <c r="K346" s="20">
        <v>0</v>
      </c>
      <c r="L346" s="21"/>
      <c r="M346" s="21"/>
      <c r="N346" s="16">
        <v>0</v>
      </c>
      <c r="O346" s="16">
        <v>0</v>
      </c>
      <c r="P346" s="16">
        <v>0</v>
      </c>
      <c r="Q346" s="16">
        <v>0</v>
      </c>
      <c r="R346" s="16">
        <v>19</v>
      </c>
      <c r="S346" s="22">
        <v>16000</v>
      </c>
      <c r="T346" s="19">
        <f t="shared" si="10"/>
        <v>0</v>
      </c>
      <c r="U346" s="19">
        <f t="shared" si="11"/>
        <v>5867</v>
      </c>
      <c r="V346" s="22">
        <v>5867</v>
      </c>
      <c r="W346" s="31">
        <v>0</v>
      </c>
      <c r="X346" s="22">
        <v>0</v>
      </c>
      <c r="Y346" s="22">
        <v>0</v>
      </c>
      <c r="Z346" s="22">
        <v>0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385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19">
        <f t="shared" si="12"/>
        <v>385</v>
      </c>
      <c r="AV346" s="22">
        <v>5481.67</v>
      </c>
      <c r="AW346" s="24"/>
      <c r="AX346" s="34"/>
      <c r="AY346" s="15"/>
      <c r="AZ346" s="26"/>
      <c r="BA346" s="27">
        <f t="shared" si="8"/>
        <v>-3.333333333102928E-3</v>
      </c>
      <c r="BB346" s="14"/>
      <c r="BC346" s="28"/>
    </row>
    <row r="347" spans="1:55" ht="21" x14ac:dyDescent="0.4">
      <c r="A347" s="15">
        <v>346</v>
      </c>
      <c r="B347" s="16">
        <v>80677</v>
      </c>
      <c r="C347" s="17" t="s">
        <v>551</v>
      </c>
      <c r="D347" s="16" t="s">
        <v>419</v>
      </c>
      <c r="E347" s="16" t="s">
        <v>555</v>
      </c>
      <c r="F347" s="16">
        <v>30</v>
      </c>
      <c r="G347" s="16">
        <v>13</v>
      </c>
      <c r="H347" s="18">
        <f t="shared" si="7"/>
        <v>17</v>
      </c>
      <c r="I347" s="19">
        <f t="shared" si="9"/>
        <v>14166.666666666668</v>
      </c>
      <c r="J347" s="16">
        <v>0</v>
      </c>
      <c r="K347" s="20">
        <v>0</v>
      </c>
      <c r="L347" s="21"/>
      <c r="M347" s="21"/>
      <c r="N347" s="16">
        <v>0</v>
      </c>
      <c r="O347" s="16">
        <v>0</v>
      </c>
      <c r="P347" s="16">
        <v>0</v>
      </c>
      <c r="Q347" s="16">
        <v>0</v>
      </c>
      <c r="R347" s="16">
        <v>17</v>
      </c>
      <c r="S347" s="32">
        <v>25000</v>
      </c>
      <c r="T347" s="19">
        <f t="shared" si="10"/>
        <v>0</v>
      </c>
      <c r="U347" s="19">
        <f t="shared" si="11"/>
        <v>10833</v>
      </c>
      <c r="V347" s="22">
        <v>10833</v>
      </c>
      <c r="W347" s="31">
        <v>0</v>
      </c>
      <c r="X347" s="22">
        <v>0</v>
      </c>
      <c r="Y347" s="22">
        <v>0</v>
      </c>
      <c r="Z347" s="22">
        <v>0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455</v>
      </c>
      <c r="AJ347" s="22">
        <v>9400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19">
        <f t="shared" si="12"/>
        <v>9855</v>
      </c>
      <c r="AV347" s="22">
        <f>10378.33-9400</f>
        <v>978.32999999999993</v>
      </c>
      <c r="AW347" s="24"/>
      <c r="AX347" s="34"/>
      <c r="AY347" s="15"/>
      <c r="AZ347" s="26"/>
      <c r="BA347" s="27">
        <f t="shared" si="8"/>
        <v>3.3333333340124227E-3</v>
      </c>
      <c r="BB347" s="14"/>
      <c r="BC347" s="28"/>
    </row>
    <row r="348" spans="1:55" ht="28.8" x14ac:dyDescent="0.4">
      <c r="A348" s="15">
        <v>347</v>
      </c>
      <c r="B348" s="16">
        <v>80678</v>
      </c>
      <c r="C348" s="17" t="s">
        <v>551</v>
      </c>
      <c r="D348" s="16" t="s">
        <v>221</v>
      </c>
      <c r="E348" s="16" t="s">
        <v>556</v>
      </c>
      <c r="F348" s="16">
        <v>30</v>
      </c>
      <c r="G348" s="16">
        <v>30</v>
      </c>
      <c r="H348" s="18">
        <f t="shared" si="7"/>
        <v>0</v>
      </c>
      <c r="I348" s="19">
        <f t="shared" si="9"/>
        <v>0</v>
      </c>
      <c r="J348" s="16">
        <v>0</v>
      </c>
      <c r="K348" s="20">
        <v>0</v>
      </c>
      <c r="L348" s="21"/>
      <c r="M348" s="21"/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22">
        <v>16000</v>
      </c>
      <c r="T348" s="19">
        <f t="shared" si="10"/>
        <v>0</v>
      </c>
      <c r="U348" s="19">
        <f t="shared" si="11"/>
        <v>16000</v>
      </c>
      <c r="V348" s="22">
        <v>16000</v>
      </c>
      <c r="W348" s="31">
        <v>0</v>
      </c>
      <c r="X348" s="22">
        <v>0</v>
      </c>
      <c r="Y348" s="22">
        <v>0</v>
      </c>
      <c r="Z348" s="22">
        <v>0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1050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19">
        <f t="shared" si="12"/>
        <v>1050</v>
      </c>
      <c r="AV348" s="22">
        <f>16000-1050</f>
        <v>14950</v>
      </c>
      <c r="AW348" s="24" t="s">
        <v>54</v>
      </c>
      <c r="AX348" s="25">
        <v>45790</v>
      </c>
      <c r="AY348" s="15"/>
      <c r="AZ348" s="26"/>
      <c r="BA348" s="27">
        <f t="shared" si="8"/>
        <v>1.8189894035458565E-12</v>
      </c>
      <c r="BB348" s="14"/>
      <c r="BC348" s="28"/>
    </row>
    <row r="349" spans="1:55" ht="28.8" x14ac:dyDescent="0.4">
      <c r="A349" s="15">
        <v>348</v>
      </c>
      <c r="B349" s="16">
        <v>80681</v>
      </c>
      <c r="C349" s="17" t="s">
        <v>551</v>
      </c>
      <c r="D349" s="16" t="s">
        <v>221</v>
      </c>
      <c r="E349" s="16" t="s">
        <v>557</v>
      </c>
      <c r="F349" s="16">
        <v>30</v>
      </c>
      <c r="G349" s="16">
        <v>5</v>
      </c>
      <c r="H349" s="18">
        <f t="shared" si="7"/>
        <v>25</v>
      </c>
      <c r="I349" s="19">
        <f t="shared" si="9"/>
        <v>13333.333333333334</v>
      </c>
      <c r="J349" s="16">
        <v>0</v>
      </c>
      <c r="K349" s="20">
        <v>0</v>
      </c>
      <c r="L349" s="21"/>
      <c r="M349" s="21"/>
      <c r="N349" s="16">
        <v>0</v>
      </c>
      <c r="O349" s="16">
        <v>0</v>
      </c>
      <c r="P349" s="16">
        <v>0</v>
      </c>
      <c r="Q349" s="16">
        <v>0</v>
      </c>
      <c r="R349" s="16">
        <v>25</v>
      </c>
      <c r="S349" s="22">
        <v>16000</v>
      </c>
      <c r="T349" s="19">
        <f t="shared" si="10"/>
        <v>0</v>
      </c>
      <c r="U349" s="19">
        <f t="shared" si="11"/>
        <v>2667</v>
      </c>
      <c r="V349" s="22">
        <v>2667</v>
      </c>
      <c r="W349" s="31">
        <v>0</v>
      </c>
      <c r="X349" s="22">
        <v>0</v>
      </c>
      <c r="Y349" s="22">
        <v>0</v>
      </c>
      <c r="Z349" s="22">
        <v>0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175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19">
        <f t="shared" si="12"/>
        <v>175</v>
      </c>
      <c r="AV349" s="22">
        <v>2491.67</v>
      </c>
      <c r="AW349" s="24"/>
      <c r="AX349" s="34"/>
      <c r="AY349" s="15"/>
      <c r="AZ349" s="26"/>
      <c r="BA349" s="27">
        <f t="shared" si="8"/>
        <v>-3.333333333102928E-3</v>
      </c>
      <c r="BB349" s="14"/>
      <c r="BC349" s="28"/>
    </row>
    <row r="350" spans="1:55" ht="28.8" x14ac:dyDescent="0.4">
      <c r="A350" s="15">
        <v>349</v>
      </c>
      <c r="B350" s="16">
        <v>80693</v>
      </c>
      <c r="C350" s="17" t="s">
        <v>551</v>
      </c>
      <c r="D350" s="16" t="s">
        <v>419</v>
      </c>
      <c r="E350" s="16" t="s">
        <v>558</v>
      </c>
      <c r="F350" s="16">
        <v>30</v>
      </c>
      <c r="G350" s="16">
        <v>6</v>
      </c>
      <c r="H350" s="18">
        <f t="shared" si="7"/>
        <v>24</v>
      </c>
      <c r="I350" s="19">
        <f t="shared" si="9"/>
        <v>20000</v>
      </c>
      <c r="J350" s="16">
        <v>0</v>
      </c>
      <c r="K350" s="20">
        <v>0</v>
      </c>
      <c r="L350" s="21"/>
      <c r="M350" s="21"/>
      <c r="N350" s="16">
        <v>0</v>
      </c>
      <c r="O350" s="16">
        <v>0</v>
      </c>
      <c r="P350" s="16">
        <v>0</v>
      </c>
      <c r="Q350" s="16">
        <v>0</v>
      </c>
      <c r="R350" s="16">
        <v>24</v>
      </c>
      <c r="S350" s="22">
        <v>25000</v>
      </c>
      <c r="T350" s="19">
        <f t="shared" si="10"/>
        <v>0</v>
      </c>
      <c r="U350" s="19">
        <f t="shared" si="11"/>
        <v>5733</v>
      </c>
      <c r="V350" s="22">
        <v>5000</v>
      </c>
      <c r="W350" s="31">
        <v>733</v>
      </c>
      <c r="X350" s="22">
        <v>0</v>
      </c>
      <c r="Y350" s="22">
        <v>0</v>
      </c>
      <c r="Z350" s="22">
        <v>0</v>
      </c>
      <c r="AA350" s="22">
        <v>0</v>
      </c>
      <c r="AB350" s="22">
        <v>0</v>
      </c>
      <c r="AC350" s="22">
        <v>5733</v>
      </c>
      <c r="AD350" s="22">
        <v>0</v>
      </c>
      <c r="AE350" s="22">
        <v>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19">
        <f t="shared" si="12"/>
        <v>5733</v>
      </c>
      <c r="AV350" s="22">
        <v>0</v>
      </c>
      <c r="AW350" s="24"/>
      <c r="AX350" s="34"/>
      <c r="AY350" s="15"/>
      <c r="AZ350" s="26"/>
      <c r="BA350" s="27">
        <f>+S350/F350*G350-T350-AU350-AV350+X350+733</f>
        <v>0</v>
      </c>
      <c r="BB350" s="14"/>
      <c r="BC350" s="28"/>
    </row>
    <row r="351" spans="1:55" ht="21" x14ac:dyDescent="0.4">
      <c r="A351" s="15">
        <v>350</v>
      </c>
      <c r="B351" s="16">
        <v>80694</v>
      </c>
      <c r="C351" s="17" t="s">
        <v>551</v>
      </c>
      <c r="D351" s="16" t="s">
        <v>419</v>
      </c>
      <c r="E351" s="16" t="s">
        <v>559</v>
      </c>
      <c r="F351" s="16">
        <v>30</v>
      </c>
      <c r="G351" s="16">
        <v>29</v>
      </c>
      <c r="H351" s="18">
        <f t="shared" si="7"/>
        <v>1</v>
      </c>
      <c r="I351" s="19">
        <f t="shared" si="9"/>
        <v>733.33333333333337</v>
      </c>
      <c r="J351" s="16">
        <v>0</v>
      </c>
      <c r="K351" s="20">
        <v>0</v>
      </c>
      <c r="L351" s="21"/>
      <c r="M351" s="21"/>
      <c r="N351" s="16">
        <v>0</v>
      </c>
      <c r="O351" s="16">
        <v>0</v>
      </c>
      <c r="P351" s="16">
        <v>0</v>
      </c>
      <c r="Q351" s="16">
        <v>1</v>
      </c>
      <c r="R351" s="16">
        <v>0</v>
      </c>
      <c r="S351" s="22">
        <v>22000</v>
      </c>
      <c r="T351" s="19">
        <f t="shared" si="10"/>
        <v>0</v>
      </c>
      <c r="U351" s="19">
        <f t="shared" si="11"/>
        <v>21267</v>
      </c>
      <c r="V351" s="22">
        <v>21267</v>
      </c>
      <c r="W351" s="31">
        <v>0</v>
      </c>
      <c r="X351" s="22">
        <v>0</v>
      </c>
      <c r="Y351" s="22">
        <v>0</v>
      </c>
      <c r="Z351" s="22">
        <v>2200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4000</v>
      </c>
      <c r="AG351" s="22">
        <v>0</v>
      </c>
      <c r="AH351" s="22">
        <v>0</v>
      </c>
      <c r="AI351" s="22">
        <v>1015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19">
        <f t="shared" si="12"/>
        <v>7215</v>
      </c>
      <c r="AV351" s="22">
        <v>14051.67</v>
      </c>
      <c r="AW351" s="24" t="s">
        <v>54</v>
      </c>
      <c r="AX351" s="25">
        <v>45790</v>
      </c>
      <c r="AY351" s="15"/>
      <c r="AZ351" s="26"/>
      <c r="BA351" s="27">
        <f t="shared" ref="BA351:BA440" si="13">+S351/F351*G351-T351-AU351-AV351+X351</f>
        <v>-3.3333333321934333E-3</v>
      </c>
      <c r="BB351" s="14"/>
      <c r="BC351" s="28"/>
    </row>
    <row r="352" spans="1:55" ht="42.6" x14ac:dyDescent="0.4">
      <c r="A352" s="15">
        <v>351</v>
      </c>
      <c r="B352" s="16">
        <v>80702</v>
      </c>
      <c r="C352" s="17" t="s">
        <v>551</v>
      </c>
      <c r="D352" s="16" t="s">
        <v>221</v>
      </c>
      <c r="E352" s="16" t="s">
        <v>560</v>
      </c>
      <c r="F352" s="16">
        <v>30</v>
      </c>
      <c r="G352" s="16">
        <v>29</v>
      </c>
      <c r="H352" s="18">
        <f t="shared" si="7"/>
        <v>1</v>
      </c>
      <c r="I352" s="19">
        <f t="shared" si="9"/>
        <v>533.33333333333337</v>
      </c>
      <c r="J352" s="16">
        <v>0</v>
      </c>
      <c r="K352" s="20">
        <v>0</v>
      </c>
      <c r="L352" s="21"/>
      <c r="M352" s="21"/>
      <c r="N352" s="16">
        <v>0</v>
      </c>
      <c r="O352" s="16">
        <v>0</v>
      </c>
      <c r="P352" s="16">
        <v>1</v>
      </c>
      <c r="Q352" s="16">
        <v>0</v>
      </c>
      <c r="R352" s="16">
        <v>0</v>
      </c>
      <c r="S352" s="22">
        <v>16000</v>
      </c>
      <c r="T352" s="19">
        <f t="shared" si="10"/>
        <v>0</v>
      </c>
      <c r="U352" s="19">
        <f t="shared" si="11"/>
        <v>15467</v>
      </c>
      <c r="V352" s="22">
        <v>15467</v>
      </c>
      <c r="W352" s="31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0</v>
      </c>
      <c r="AC352" s="22">
        <v>261</v>
      </c>
      <c r="AD352" s="22">
        <v>0</v>
      </c>
      <c r="AE352" s="22">
        <v>0</v>
      </c>
      <c r="AF352" s="22">
        <v>3000</v>
      </c>
      <c r="AG352" s="22">
        <v>0</v>
      </c>
      <c r="AH352" s="22">
        <v>0</v>
      </c>
      <c r="AI352" s="22">
        <v>1015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19">
        <f t="shared" si="12"/>
        <v>4276</v>
      </c>
      <c r="AV352" s="22">
        <f>11225.67-35</f>
        <v>11190.67</v>
      </c>
      <c r="AW352" s="24" t="s">
        <v>54</v>
      </c>
      <c r="AX352" s="25">
        <v>45790</v>
      </c>
      <c r="AY352" s="15"/>
      <c r="AZ352" s="26"/>
      <c r="BA352" s="27">
        <f t="shared" si="13"/>
        <v>-3.3333333321934333E-3</v>
      </c>
      <c r="BB352" s="14"/>
      <c r="BC352" s="28"/>
    </row>
    <row r="353" spans="1:55" ht="28.8" x14ac:dyDescent="0.4">
      <c r="A353" s="15">
        <v>352</v>
      </c>
      <c r="B353" s="16">
        <v>80717</v>
      </c>
      <c r="C353" s="17" t="s">
        <v>551</v>
      </c>
      <c r="D353" s="16" t="s">
        <v>538</v>
      </c>
      <c r="E353" s="16" t="s">
        <v>561</v>
      </c>
      <c r="F353" s="16">
        <v>30</v>
      </c>
      <c r="G353" s="16">
        <v>11</v>
      </c>
      <c r="H353" s="18">
        <f t="shared" si="7"/>
        <v>19</v>
      </c>
      <c r="I353" s="19">
        <f t="shared" si="9"/>
        <v>10133.333333333334</v>
      </c>
      <c r="J353" s="16">
        <v>0</v>
      </c>
      <c r="K353" s="20">
        <v>0</v>
      </c>
      <c r="L353" s="21"/>
      <c r="M353" s="21"/>
      <c r="N353" s="16">
        <v>0</v>
      </c>
      <c r="O353" s="16">
        <v>0</v>
      </c>
      <c r="P353" s="16">
        <v>0</v>
      </c>
      <c r="Q353" s="16">
        <v>0</v>
      </c>
      <c r="R353" s="16">
        <v>19</v>
      </c>
      <c r="S353" s="22">
        <v>16000</v>
      </c>
      <c r="T353" s="19">
        <f t="shared" si="10"/>
        <v>0</v>
      </c>
      <c r="U353" s="19">
        <f t="shared" si="11"/>
        <v>5867</v>
      </c>
      <c r="V353" s="22">
        <v>5867</v>
      </c>
      <c r="W353" s="31">
        <v>0</v>
      </c>
      <c r="X353" s="22">
        <v>0</v>
      </c>
      <c r="Y353" s="22">
        <v>0</v>
      </c>
      <c r="Z353" s="22">
        <v>0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0</v>
      </c>
      <c r="AI353" s="22">
        <v>385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0</v>
      </c>
      <c r="AU353" s="19">
        <f t="shared" si="12"/>
        <v>385</v>
      </c>
      <c r="AV353" s="22">
        <v>5481.67</v>
      </c>
      <c r="AW353" s="24"/>
      <c r="AX353" s="34"/>
      <c r="AY353" s="15"/>
      <c r="AZ353" s="26"/>
      <c r="BA353" s="27">
        <f t="shared" si="13"/>
        <v>-3.333333333102928E-3</v>
      </c>
      <c r="BB353" s="44"/>
      <c r="BC353" s="28"/>
    </row>
    <row r="354" spans="1:55" ht="42.6" x14ac:dyDescent="0.4">
      <c r="A354" s="15">
        <v>353</v>
      </c>
      <c r="B354" s="16">
        <v>80738</v>
      </c>
      <c r="C354" s="17" t="s">
        <v>551</v>
      </c>
      <c r="D354" s="16" t="s">
        <v>419</v>
      </c>
      <c r="E354" s="16" t="s">
        <v>562</v>
      </c>
      <c r="F354" s="16">
        <v>30</v>
      </c>
      <c r="G354" s="16">
        <v>21</v>
      </c>
      <c r="H354" s="18">
        <f t="shared" si="7"/>
        <v>9</v>
      </c>
      <c r="I354" s="19">
        <f t="shared" si="9"/>
        <v>7200</v>
      </c>
      <c r="J354" s="16">
        <v>0</v>
      </c>
      <c r="K354" s="20">
        <v>0</v>
      </c>
      <c r="L354" s="21"/>
      <c r="M354" s="21"/>
      <c r="N354" s="16">
        <v>0</v>
      </c>
      <c r="O354" s="16">
        <v>0</v>
      </c>
      <c r="P354" s="16">
        <v>9</v>
      </c>
      <c r="Q354" s="16">
        <v>0</v>
      </c>
      <c r="R354" s="16">
        <v>0</v>
      </c>
      <c r="S354" s="22">
        <v>24000</v>
      </c>
      <c r="T354" s="19">
        <f t="shared" si="10"/>
        <v>0</v>
      </c>
      <c r="U354" s="19">
        <f t="shared" si="11"/>
        <v>16800</v>
      </c>
      <c r="V354" s="22">
        <v>16800</v>
      </c>
      <c r="W354" s="31">
        <v>0</v>
      </c>
      <c r="X354" s="22">
        <v>0</v>
      </c>
      <c r="Y354" s="22">
        <v>0</v>
      </c>
      <c r="Z354" s="22">
        <v>0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735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19">
        <f t="shared" si="12"/>
        <v>735</v>
      </c>
      <c r="AV354" s="22">
        <v>16065</v>
      </c>
      <c r="AW354" s="24" t="s">
        <v>54</v>
      </c>
      <c r="AX354" s="25">
        <v>45791</v>
      </c>
      <c r="AY354" s="15"/>
      <c r="AZ354" s="26"/>
      <c r="BA354" s="27">
        <f t="shared" si="13"/>
        <v>0</v>
      </c>
      <c r="BB354" s="14"/>
      <c r="BC354" s="28"/>
    </row>
    <row r="355" spans="1:55" ht="21" x14ac:dyDescent="0.4">
      <c r="A355" s="15">
        <v>354</v>
      </c>
      <c r="B355" s="16">
        <v>80768</v>
      </c>
      <c r="C355" s="17" t="s">
        <v>551</v>
      </c>
      <c r="D355" s="16" t="s">
        <v>221</v>
      </c>
      <c r="E355" s="16" t="s">
        <v>563</v>
      </c>
      <c r="F355" s="16">
        <v>30</v>
      </c>
      <c r="G355" s="16">
        <v>16</v>
      </c>
      <c r="H355" s="18">
        <f t="shared" si="7"/>
        <v>14</v>
      </c>
      <c r="I355" s="19">
        <f t="shared" si="9"/>
        <v>7466.666666666667</v>
      </c>
      <c r="J355" s="16">
        <v>0</v>
      </c>
      <c r="K355" s="20">
        <v>0</v>
      </c>
      <c r="L355" s="21"/>
      <c r="M355" s="21"/>
      <c r="N355" s="16">
        <v>0</v>
      </c>
      <c r="O355" s="16">
        <v>0</v>
      </c>
      <c r="P355" s="16">
        <v>0</v>
      </c>
      <c r="Q355" s="16">
        <v>0</v>
      </c>
      <c r="R355" s="16">
        <v>14</v>
      </c>
      <c r="S355" s="22">
        <v>16000</v>
      </c>
      <c r="T355" s="19">
        <f t="shared" si="10"/>
        <v>0</v>
      </c>
      <c r="U355" s="19">
        <f t="shared" si="11"/>
        <v>8533</v>
      </c>
      <c r="V355" s="22">
        <v>8533</v>
      </c>
      <c r="W355" s="31">
        <v>0</v>
      </c>
      <c r="X355" s="22">
        <v>0</v>
      </c>
      <c r="Y355" s="22">
        <v>0</v>
      </c>
      <c r="Z355" s="22">
        <v>0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560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19">
        <f t="shared" si="12"/>
        <v>560</v>
      </c>
      <c r="AV355" s="22">
        <v>7973.33</v>
      </c>
      <c r="AW355" s="24" t="s">
        <v>54</v>
      </c>
      <c r="AX355" s="25">
        <v>45789</v>
      </c>
      <c r="AY355" s="15"/>
      <c r="AZ355" s="26"/>
      <c r="BA355" s="27">
        <f t="shared" si="13"/>
        <v>3.3333333340124227E-3</v>
      </c>
      <c r="BB355" s="14"/>
      <c r="BC355" s="28"/>
    </row>
    <row r="356" spans="1:55" ht="28.8" x14ac:dyDescent="0.4">
      <c r="A356" s="15">
        <v>355</v>
      </c>
      <c r="B356" s="16">
        <v>80780</v>
      </c>
      <c r="C356" s="17" t="s">
        <v>551</v>
      </c>
      <c r="D356" s="16" t="s">
        <v>538</v>
      </c>
      <c r="E356" s="16" t="s">
        <v>564</v>
      </c>
      <c r="F356" s="16">
        <v>30</v>
      </c>
      <c r="G356" s="16">
        <v>11</v>
      </c>
      <c r="H356" s="18">
        <f t="shared" si="7"/>
        <v>19</v>
      </c>
      <c r="I356" s="19">
        <f t="shared" si="9"/>
        <v>10133.333333333334</v>
      </c>
      <c r="J356" s="16">
        <v>0</v>
      </c>
      <c r="K356" s="20">
        <v>0</v>
      </c>
      <c r="L356" s="21"/>
      <c r="M356" s="21"/>
      <c r="N356" s="16">
        <v>0</v>
      </c>
      <c r="O356" s="16">
        <v>0</v>
      </c>
      <c r="P356" s="16">
        <v>0</v>
      </c>
      <c r="Q356" s="16">
        <v>0</v>
      </c>
      <c r="R356" s="16">
        <v>19</v>
      </c>
      <c r="S356" s="22">
        <v>16000</v>
      </c>
      <c r="T356" s="19">
        <f t="shared" si="10"/>
        <v>0</v>
      </c>
      <c r="U356" s="19">
        <f t="shared" si="11"/>
        <v>5867</v>
      </c>
      <c r="V356" s="22">
        <v>5867</v>
      </c>
      <c r="W356" s="31">
        <v>0</v>
      </c>
      <c r="X356" s="22">
        <v>0</v>
      </c>
      <c r="Y356" s="22">
        <v>0</v>
      </c>
      <c r="Z356" s="22">
        <v>0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385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0</v>
      </c>
      <c r="AU356" s="19">
        <f t="shared" si="12"/>
        <v>385</v>
      </c>
      <c r="AV356" s="22">
        <v>5481.67</v>
      </c>
      <c r="AW356" s="24" t="s">
        <v>54</v>
      </c>
      <c r="AX356" s="25">
        <v>45789</v>
      </c>
      <c r="AY356" s="15"/>
      <c r="AZ356" s="26"/>
      <c r="BA356" s="27">
        <f t="shared" si="13"/>
        <v>-3.333333333102928E-3</v>
      </c>
      <c r="BB356" s="14"/>
      <c r="BC356" s="28"/>
    </row>
    <row r="357" spans="1:55" ht="28.8" x14ac:dyDescent="0.4">
      <c r="A357" s="15">
        <v>356</v>
      </c>
      <c r="B357" s="16">
        <v>80781</v>
      </c>
      <c r="C357" s="17" t="s">
        <v>551</v>
      </c>
      <c r="D357" s="16" t="s">
        <v>538</v>
      </c>
      <c r="E357" s="16" t="s">
        <v>565</v>
      </c>
      <c r="F357" s="16">
        <v>30</v>
      </c>
      <c r="G357" s="16">
        <v>16</v>
      </c>
      <c r="H357" s="18">
        <f t="shared" si="7"/>
        <v>14</v>
      </c>
      <c r="I357" s="19">
        <f t="shared" si="9"/>
        <v>8400</v>
      </c>
      <c r="J357" s="16">
        <v>0</v>
      </c>
      <c r="K357" s="20">
        <v>0</v>
      </c>
      <c r="L357" s="21"/>
      <c r="M357" s="21"/>
      <c r="N357" s="16">
        <v>0</v>
      </c>
      <c r="O357" s="16">
        <v>0</v>
      </c>
      <c r="P357" s="16">
        <v>0</v>
      </c>
      <c r="Q357" s="16">
        <v>0</v>
      </c>
      <c r="R357" s="16">
        <v>14</v>
      </c>
      <c r="S357" s="22">
        <v>18000</v>
      </c>
      <c r="T357" s="19">
        <f t="shared" si="10"/>
        <v>0</v>
      </c>
      <c r="U357" s="19">
        <f t="shared" si="11"/>
        <v>9600</v>
      </c>
      <c r="V357" s="22">
        <v>9600</v>
      </c>
      <c r="W357" s="31">
        <v>0</v>
      </c>
      <c r="X357" s="22">
        <v>0</v>
      </c>
      <c r="Y357" s="22">
        <v>0</v>
      </c>
      <c r="Z357" s="22">
        <v>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560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  <c r="AO357" s="22">
        <v>0</v>
      </c>
      <c r="AP357" s="22">
        <v>0</v>
      </c>
      <c r="AQ357" s="22">
        <v>0</v>
      </c>
      <c r="AR357" s="22">
        <v>0</v>
      </c>
      <c r="AS357" s="22">
        <v>0</v>
      </c>
      <c r="AT357" s="22">
        <v>0</v>
      </c>
      <c r="AU357" s="19">
        <f t="shared" si="12"/>
        <v>560</v>
      </c>
      <c r="AV357" s="22">
        <v>9040</v>
      </c>
      <c r="AW357" s="24" t="s">
        <v>54</v>
      </c>
      <c r="AX357" s="25">
        <v>45789</v>
      </c>
      <c r="AY357" s="15"/>
      <c r="AZ357" s="26"/>
      <c r="BA357" s="27">
        <f t="shared" si="13"/>
        <v>0</v>
      </c>
      <c r="BB357" s="14"/>
      <c r="BC357" s="28"/>
    </row>
    <row r="358" spans="1:55" ht="21" x14ac:dyDescent="0.4">
      <c r="A358" s="15">
        <v>357</v>
      </c>
      <c r="B358" s="16">
        <v>80784</v>
      </c>
      <c r="C358" s="17" t="s">
        <v>551</v>
      </c>
      <c r="D358" s="16" t="s">
        <v>419</v>
      </c>
      <c r="E358" s="16" t="s">
        <v>566</v>
      </c>
      <c r="F358" s="16">
        <v>30</v>
      </c>
      <c r="G358" s="16">
        <v>11</v>
      </c>
      <c r="H358" s="18">
        <f t="shared" si="7"/>
        <v>19</v>
      </c>
      <c r="I358" s="19">
        <f t="shared" si="9"/>
        <v>15833.333333333334</v>
      </c>
      <c r="J358" s="16">
        <v>0</v>
      </c>
      <c r="K358" s="20">
        <v>0</v>
      </c>
      <c r="L358" s="21"/>
      <c r="M358" s="21"/>
      <c r="N358" s="16">
        <v>0</v>
      </c>
      <c r="O358" s="16">
        <v>0</v>
      </c>
      <c r="P358" s="16">
        <v>0</v>
      </c>
      <c r="Q358" s="16">
        <v>0</v>
      </c>
      <c r="R358" s="16">
        <v>19</v>
      </c>
      <c r="S358" s="22">
        <v>25000</v>
      </c>
      <c r="T358" s="19">
        <f t="shared" si="10"/>
        <v>0</v>
      </c>
      <c r="U358" s="19">
        <f t="shared" si="11"/>
        <v>9167</v>
      </c>
      <c r="V358" s="22">
        <v>9167</v>
      </c>
      <c r="W358" s="31">
        <v>0</v>
      </c>
      <c r="X358" s="22">
        <v>0</v>
      </c>
      <c r="Y358" s="22">
        <v>0</v>
      </c>
      <c r="Z358" s="22">
        <v>0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385</v>
      </c>
      <c r="AJ358" s="22">
        <v>0</v>
      </c>
      <c r="AK358" s="22">
        <v>0</v>
      </c>
      <c r="AL358" s="22">
        <v>0</v>
      </c>
      <c r="AM358" s="22">
        <v>0</v>
      </c>
      <c r="AN358" s="22">
        <v>0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19">
        <f t="shared" si="12"/>
        <v>385</v>
      </c>
      <c r="AV358" s="22">
        <v>8781.67</v>
      </c>
      <c r="AW358" s="24" t="s">
        <v>54</v>
      </c>
      <c r="AX358" s="25">
        <v>45789</v>
      </c>
      <c r="AY358" s="15"/>
      <c r="AZ358" s="26"/>
      <c r="BA358" s="27">
        <f t="shared" si="13"/>
        <v>-3.3333333321934333E-3</v>
      </c>
      <c r="BB358" s="14"/>
      <c r="BC358" s="28"/>
    </row>
    <row r="359" spans="1:55" ht="28.8" x14ac:dyDescent="0.4">
      <c r="A359" s="15">
        <v>358</v>
      </c>
      <c r="B359" s="36">
        <v>28010</v>
      </c>
      <c r="C359" s="37" t="s">
        <v>567</v>
      </c>
      <c r="D359" s="36" t="s">
        <v>280</v>
      </c>
      <c r="E359" s="36" t="s">
        <v>568</v>
      </c>
      <c r="F359" s="16">
        <v>30</v>
      </c>
      <c r="G359" s="16">
        <v>29</v>
      </c>
      <c r="H359" s="18">
        <f t="shared" si="7"/>
        <v>1</v>
      </c>
      <c r="I359" s="19">
        <f t="shared" si="9"/>
        <v>1000</v>
      </c>
      <c r="J359" s="16">
        <v>4</v>
      </c>
      <c r="K359" s="20">
        <v>2</v>
      </c>
      <c r="L359" s="21"/>
      <c r="M359" s="21"/>
      <c r="N359" s="16">
        <v>0</v>
      </c>
      <c r="O359" s="16">
        <v>0</v>
      </c>
      <c r="P359" s="16">
        <v>1</v>
      </c>
      <c r="Q359" s="16">
        <v>0</v>
      </c>
      <c r="R359" s="16">
        <v>0</v>
      </c>
      <c r="S359" s="32">
        <v>30000</v>
      </c>
      <c r="T359" s="19">
        <f t="shared" si="10"/>
        <v>2000</v>
      </c>
      <c r="U359" s="19">
        <f t="shared" si="11"/>
        <v>27000</v>
      </c>
      <c r="V359" s="22">
        <v>25000</v>
      </c>
      <c r="W359" s="31">
        <v>2000</v>
      </c>
      <c r="X359" s="22">
        <v>0</v>
      </c>
      <c r="Y359" s="22">
        <v>0</v>
      </c>
      <c r="Z359" s="22">
        <v>0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1015</v>
      </c>
      <c r="AJ359" s="22">
        <v>0</v>
      </c>
      <c r="AK359" s="22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19">
        <f t="shared" si="12"/>
        <v>1015</v>
      </c>
      <c r="AV359" s="22">
        <v>25985</v>
      </c>
      <c r="AW359" s="24" t="s">
        <v>54</v>
      </c>
      <c r="AX359" s="25">
        <v>45790</v>
      </c>
      <c r="AY359" s="15"/>
      <c r="AZ359" s="26"/>
      <c r="BA359" s="27">
        <f t="shared" si="13"/>
        <v>0</v>
      </c>
      <c r="BB359" s="14"/>
      <c r="BC359" s="28"/>
    </row>
    <row r="360" spans="1:55" ht="28.8" x14ac:dyDescent="0.4">
      <c r="A360" s="15">
        <v>359</v>
      </c>
      <c r="B360" s="36">
        <v>80614</v>
      </c>
      <c r="C360" s="37" t="s">
        <v>567</v>
      </c>
      <c r="D360" s="36" t="s">
        <v>223</v>
      </c>
      <c r="E360" s="36" t="s">
        <v>569</v>
      </c>
      <c r="F360" s="16">
        <v>30</v>
      </c>
      <c r="G360" s="16">
        <v>28</v>
      </c>
      <c r="H360" s="18">
        <f t="shared" si="7"/>
        <v>2</v>
      </c>
      <c r="I360" s="19">
        <f t="shared" si="9"/>
        <v>1066.6666666666667</v>
      </c>
      <c r="J360" s="16">
        <v>0</v>
      </c>
      <c r="K360" s="20">
        <v>0</v>
      </c>
      <c r="L360" s="21"/>
      <c r="M360" s="21"/>
      <c r="N360" s="16">
        <v>0</v>
      </c>
      <c r="O360" s="16">
        <v>0</v>
      </c>
      <c r="P360" s="16">
        <v>2</v>
      </c>
      <c r="Q360" s="16">
        <v>0</v>
      </c>
      <c r="R360" s="16">
        <v>0</v>
      </c>
      <c r="S360" s="22">
        <v>16000</v>
      </c>
      <c r="T360" s="19">
        <f t="shared" si="10"/>
        <v>0</v>
      </c>
      <c r="U360" s="19">
        <f t="shared" si="11"/>
        <v>14933</v>
      </c>
      <c r="V360" s="22">
        <v>14933</v>
      </c>
      <c r="W360" s="31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0</v>
      </c>
      <c r="AC360" s="22">
        <v>0</v>
      </c>
      <c r="AD360" s="22">
        <v>0</v>
      </c>
      <c r="AE360" s="22">
        <v>0</v>
      </c>
      <c r="AF360" s="22">
        <v>2000</v>
      </c>
      <c r="AG360" s="22">
        <v>0</v>
      </c>
      <c r="AH360" s="22">
        <v>0</v>
      </c>
      <c r="AI360" s="22">
        <v>980</v>
      </c>
      <c r="AJ360" s="22">
        <v>0</v>
      </c>
      <c r="AK360" s="22">
        <v>0</v>
      </c>
      <c r="AL360" s="22">
        <v>0</v>
      </c>
      <c r="AM360" s="22">
        <v>0</v>
      </c>
      <c r="AN360" s="22">
        <v>0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19">
        <f t="shared" si="12"/>
        <v>2980</v>
      </c>
      <c r="AV360" s="32">
        <v>11953.33</v>
      </c>
      <c r="AW360" s="24" t="s">
        <v>54</v>
      </c>
      <c r="AX360" s="25">
        <v>45789</v>
      </c>
      <c r="AY360" s="15"/>
      <c r="AZ360" s="26"/>
      <c r="BA360" s="27">
        <f t="shared" si="13"/>
        <v>3.3333333340124227E-3</v>
      </c>
      <c r="BB360" s="26"/>
      <c r="BC360" s="28"/>
    </row>
    <row r="361" spans="1:55" ht="28.8" x14ac:dyDescent="0.4">
      <c r="A361" s="15">
        <v>360</v>
      </c>
      <c r="B361" s="16">
        <v>28009</v>
      </c>
      <c r="C361" s="17" t="s">
        <v>567</v>
      </c>
      <c r="D361" s="16" t="s">
        <v>280</v>
      </c>
      <c r="E361" s="16" t="s">
        <v>570</v>
      </c>
      <c r="F361" s="16">
        <v>30</v>
      </c>
      <c r="G361" s="16">
        <v>29</v>
      </c>
      <c r="H361" s="18">
        <f t="shared" si="7"/>
        <v>1</v>
      </c>
      <c r="I361" s="19">
        <f t="shared" si="9"/>
        <v>833.33333333333337</v>
      </c>
      <c r="J361" s="16">
        <v>0</v>
      </c>
      <c r="K361" s="20">
        <v>0</v>
      </c>
      <c r="L361" s="21"/>
      <c r="M361" s="21"/>
      <c r="N361" s="16">
        <v>0</v>
      </c>
      <c r="O361" s="16">
        <v>0</v>
      </c>
      <c r="P361" s="16">
        <v>0</v>
      </c>
      <c r="Q361" s="16">
        <v>0</v>
      </c>
      <c r="R361" s="16">
        <v>1</v>
      </c>
      <c r="S361" s="22">
        <v>25000</v>
      </c>
      <c r="T361" s="19">
        <f t="shared" si="10"/>
        <v>0</v>
      </c>
      <c r="U361" s="19">
        <f t="shared" si="11"/>
        <v>24167</v>
      </c>
      <c r="V361" s="22">
        <v>24167</v>
      </c>
      <c r="W361" s="31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0</v>
      </c>
      <c r="AC361" s="22">
        <v>0</v>
      </c>
      <c r="AD361" s="22">
        <v>0</v>
      </c>
      <c r="AE361" s="22">
        <v>0</v>
      </c>
      <c r="AF361" s="22">
        <v>4000</v>
      </c>
      <c r="AG361" s="22">
        <v>0</v>
      </c>
      <c r="AH361" s="22">
        <v>0</v>
      </c>
      <c r="AI361" s="22">
        <v>1015</v>
      </c>
      <c r="AJ361" s="22">
        <v>0</v>
      </c>
      <c r="AK361" s="22">
        <v>0</v>
      </c>
      <c r="AL361" s="22">
        <v>0</v>
      </c>
      <c r="AM361" s="22">
        <v>0</v>
      </c>
      <c r="AN361" s="22"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19">
        <f t="shared" si="12"/>
        <v>5015</v>
      </c>
      <c r="AV361" s="22">
        <v>19151.669999999998</v>
      </c>
      <c r="AW361" s="24" t="s">
        <v>54</v>
      </c>
      <c r="AX361" s="25">
        <v>45789</v>
      </c>
      <c r="AY361" s="15"/>
      <c r="AZ361" s="26"/>
      <c r="BA361" s="27">
        <f t="shared" si="13"/>
        <v>-3.3333333303744439E-3</v>
      </c>
      <c r="BB361" s="14"/>
      <c r="BC361" s="28"/>
    </row>
    <row r="362" spans="1:55" ht="28.8" x14ac:dyDescent="0.4">
      <c r="A362" s="15">
        <v>361</v>
      </c>
      <c r="B362" s="16">
        <v>30008</v>
      </c>
      <c r="C362" s="17" t="s">
        <v>567</v>
      </c>
      <c r="D362" s="16" t="s">
        <v>482</v>
      </c>
      <c r="E362" s="16" t="s">
        <v>571</v>
      </c>
      <c r="F362" s="16">
        <v>30</v>
      </c>
      <c r="G362" s="16">
        <v>29</v>
      </c>
      <c r="H362" s="18">
        <f t="shared" si="7"/>
        <v>1</v>
      </c>
      <c r="I362" s="19">
        <f t="shared" si="9"/>
        <v>600</v>
      </c>
      <c r="J362" s="16">
        <v>0</v>
      </c>
      <c r="K362" s="20">
        <v>0</v>
      </c>
      <c r="L362" s="21"/>
      <c r="M362" s="21"/>
      <c r="N362" s="16">
        <v>0</v>
      </c>
      <c r="O362" s="16">
        <v>0</v>
      </c>
      <c r="P362" s="16">
        <v>1</v>
      </c>
      <c r="Q362" s="16">
        <v>0</v>
      </c>
      <c r="R362" s="16">
        <v>0</v>
      </c>
      <c r="S362" s="22">
        <v>18000</v>
      </c>
      <c r="T362" s="19">
        <f t="shared" si="10"/>
        <v>0</v>
      </c>
      <c r="U362" s="19">
        <f t="shared" si="11"/>
        <v>17400</v>
      </c>
      <c r="V362" s="22">
        <v>17400</v>
      </c>
      <c r="W362" s="31">
        <v>0</v>
      </c>
      <c r="X362" s="22">
        <v>0</v>
      </c>
      <c r="Y362" s="22">
        <v>0</v>
      </c>
      <c r="Z362" s="22">
        <v>0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1015</v>
      </c>
      <c r="AJ362" s="22">
        <v>0</v>
      </c>
      <c r="AK362" s="22">
        <v>0</v>
      </c>
      <c r="AL362" s="22">
        <v>0</v>
      </c>
      <c r="AM362" s="22">
        <v>0</v>
      </c>
      <c r="AN362" s="22"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v>0</v>
      </c>
      <c r="AT362" s="22">
        <v>0</v>
      </c>
      <c r="AU362" s="19">
        <f t="shared" si="12"/>
        <v>1015</v>
      </c>
      <c r="AV362" s="22">
        <v>16385</v>
      </c>
      <c r="AW362" s="24" t="s">
        <v>54</v>
      </c>
      <c r="AX362" s="25">
        <v>45789</v>
      </c>
      <c r="AY362" s="15"/>
      <c r="AZ362" s="26"/>
      <c r="BA362" s="27">
        <f t="shared" si="13"/>
        <v>0</v>
      </c>
      <c r="BB362" s="14"/>
      <c r="BC362" s="28"/>
    </row>
    <row r="363" spans="1:55" ht="28.8" x14ac:dyDescent="0.4">
      <c r="A363" s="15">
        <v>362</v>
      </c>
      <c r="B363" s="16">
        <v>28049</v>
      </c>
      <c r="C363" s="17" t="s">
        <v>567</v>
      </c>
      <c r="D363" s="16" t="s">
        <v>280</v>
      </c>
      <c r="E363" s="16" t="s">
        <v>572</v>
      </c>
      <c r="F363" s="16">
        <v>30</v>
      </c>
      <c r="G363" s="16">
        <v>30</v>
      </c>
      <c r="H363" s="18">
        <f t="shared" si="7"/>
        <v>0</v>
      </c>
      <c r="I363" s="19">
        <f t="shared" si="9"/>
        <v>0</v>
      </c>
      <c r="J363" s="16">
        <v>0</v>
      </c>
      <c r="K363" s="20">
        <v>0</v>
      </c>
      <c r="L363" s="21"/>
      <c r="M363" s="21"/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32">
        <v>27500</v>
      </c>
      <c r="T363" s="19">
        <f t="shared" si="10"/>
        <v>0</v>
      </c>
      <c r="U363" s="19">
        <f t="shared" si="11"/>
        <v>27500</v>
      </c>
      <c r="V363" s="22">
        <v>27500</v>
      </c>
      <c r="W363" s="31">
        <v>0</v>
      </c>
      <c r="X363" s="22">
        <v>0</v>
      </c>
      <c r="Y363" s="22">
        <v>0</v>
      </c>
      <c r="Z363" s="22">
        <v>0</v>
      </c>
      <c r="AA363" s="22">
        <v>0</v>
      </c>
      <c r="AB363" s="22">
        <v>0</v>
      </c>
      <c r="AC363" s="22">
        <v>896</v>
      </c>
      <c r="AD363" s="22">
        <v>0</v>
      </c>
      <c r="AE363" s="22">
        <v>0</v>
      </c>
      <c r="AF363" s="22">
        <v>5000</v>
      </c>
      <c r="AG363" s="22">
        <v>0</v>
      </c>
      <c r="AH363" s="22">
        <v>0</v>
      </c>
      <c r="AI363" s="22">
        <v>1050</v>
      </c>
      <c r="AJ363" s="22">
        <v>0</v>
      </c>
      <c r="AK363" s="22">
        <v>0</v>
      </c>
      <c r="AL363" s="22">
        <v>0</v>
      </c>
      <c r="AM363" s="22">
        <v>0</v>
      </c>
      <c r="AN363" s="22">
        <v>0</v>
      </c>
      <c r="AO363" s="22">
        <v>0</v>
      </c>
      <c r="AP363" s="22">
        <v>0</v>
      </c>
      <c r="AQ363" s="22">
        <v>0</v>
      </c>
      <c r="AR363" s="22">
        <v>0</v>
      </c>
      <c r="AS363" s="22">
        <v>0</v>
      </c>
      <c r="AT363" s="22">
        <v>0</v>
      </c>
      <c r="AU363" s="19">
        <f t="shared" si="12"/>
        <v>6946</v>
      </c>
      <c r="AV363" s="22">
        <v>20554</v>
      </c>
      <c r="AW363" s="24" t="s">
        <v>54</v>
      </c>
      <c r="AX363" s="25">
        <v>45790</v>
      </c>
      <c r="AY363" s="15"/>
      <c r="AZ363" s="26"/>
      <c r="BA363" s="27">
        <f t="shared" si="13"/>
        <v>0</v>
      </c>
      <c r="BB363" s="14"/>
      <c r="BC363" s="28"/>
    </row>
    <row r="364" spans="1:55" ht="28.8" x14ac:dyDescent="0.4">
      <c r="A364" s="15">
        <v>363</v>
      </c>
      <c r="B364" s="16">
        <v>29133</v>
      </c>
      <c r="C364" s="17" t="s">
        <v>567</v>
      </c>
      <c r="D364" s="16" t="s">
        <v>212</v>
      </c>
      <c r="E364" s="16" t="s">
        <v>573</v>
      </c>
      <c r="F364" s="16">
        <v>30</v>
      </c>
      <c r="G364" s="16">
        <v>25</v>
      </c>
      <c r="H364" s="18">
        <f t="shared" si="7"/>
        <v>5</v>
      </c>
      <c r="I364" s="19">
        <f t="shared" si="9"/>
        <v>3000</v>
      </c>
      <c r="J364" s="16">
        <v>1</v>
      </c>
      <c r="K364" s="20">
        <v>0</v>
      </c>
      <c r="L364" s="21"/>
      <c r="M364" s="21"/>
      <c r="N364" s="16">
        <v>0</v>
      </c>
      <c r="O364" s="16">
        <v>0</v>
      </c>
      <c r="P364" s="16">
        <v>5</v>
      </c>
      <c r="Q364" s="16">
        <v>0</v>
      </c>
      <c r="R364" s="16">
        <v>0</v>
      </c>
      <c r="S364" s="22">
        <v>18000</v>
      </c>
      <c r="T364" s="19">
        <f t="shared" si="10"/>
        <v>0</v>
      </c>
      <c r="U364" s="19">
        <f t="shared" si="11"/>
        <v>15000</v>
      </c>
      <c r="V364" s="22">
        <v>14400</v>
      </c>
      <c r="W364" s="31">
        <v>600</v>
      </c>
      <c r="X364" s="22">
        <v>0</v>
      </c>
      <c r="Y364" s="22">
        <v>0</v>
      </c>
      <c r="Z364" s="22">
        <v>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2000</v>
      </c>
      <c r="AG364" s="22">
        <v>0</v>
      </c>
      <c r="AH364" s="22">
        <v>0</v>
      </c>
      <c r="AI364" s="22">
        <v>875</v>
      </c>
      <c r="AJ364" s="22">
        <v>0</v>
      </c>
      <c r="AK364" s="22">
        <v>0</v>
      </c>
      <c r="AL364" s="22">
        <v>0</v>
      </c>
      <c r="AM364" s="22">
        <v>0</v>
      </c>
      <c r="AN364" s="22">
        <v>0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19">
        <f t="shared" si="12"/>
        <v>2875</v>
      </c>
      <c r="AV364" s="22">
        <v>12125</v>
      </c>
      <c r="AW364" s="24" t="s">
        <v>54</v>
      </c>
      <c r="AX364" s="25">
        <v>45791</v>
      </c>
      <c r="AY364" s="15"/>
      <c r="AZ364" s="26"/>
      <c r="BA364" s="27">
        <f t="shared" si="13"/>
        <v>0</v>
      </c>
      <c r="BB364" s="14"/>
      <c r="BC364" s="28"/>
    </row>
    <row r="365" spans="1:55" ht="28.8" x14ac:dyDescent="0.4">
      <c r="A365" s="15">
        <v>364</v>
      </c>
      <c r="B365" s="16">
        <v>33132</v>
      </c>
      <c r="C365" s="17" t="s">
        <v>567</v>
      </c>
      <c r="D365" s="16" t="s">
        <v>280</v>
      </c>
      <c r="E365" s="16" t="s">
        <v>574</v>
      </c>
      <c r="F365" s="16">
        <v>30</v>
      </c>
      <c r="G365" s="16">
        <v>30</v>
      </c>
      <c r="H365" s="18">
        <f t="shared" si="7"/>
        <v>0</v>
      </c>
      <c r="I365" s="19">
        <f t="shared" si="9"/>
        <v>0</v>
      </c>
      <c r="J365" s="16">
        <v>0</v>
      </c>
      <c r="K365" s="20">
        <v>0</v>
      </c>
      <c r="L365" s="21"/>
      <c r="M365" s="21"/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32">
        <v>25000</v>
      </c>
      <c r="T365" s="19">
        <f t="shared" si="10"/>
        <v>0</v>
      </c>
      <c r="U365" s="19">
        <f t="shared" si="11"/>
        <v>25000</v>
      </c>
      <c r="V365" s="22">
        <v>25000</v>
      </c>
      <c r="W365" s="31">
        <v>0</v>
      </c>
      <c r="X365" s="22">
        <v>0</v>
      </c>
      <c r="Y365" s="22">
        <v>0</v>
      </c>
      <c r="Z365" s="22">
        <v>0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1050</v>
      </c>
      <c r="AJ365" s="22">
        <v>0</v>
      </c>
      <c r="AK365" s="22">
        <v>0</v>
      </c>
      <c r="AL365" s="22">
        <v>0</v>
      </c>
      <c r="AM365" s="22">
        <v>0</v>
      </c>
      <c r="AN365" s="22"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19">
        <f t="shared" si="12"/>
        <v>1050</v>
      </c>
      <c r="AV365" s="22">
        <v>23950</v>
      </c>
      <c r="AW365" s="24" t="s">
        <v>54</v>
      </c>
      <c r="AX365" s="25">
        <v>45789</v>
      </c>
      <c r="AY365" s="15"/>
      <c r="AZ365" s="26"/>
      <c r="BA365" s="27">
        <f t="shared" si="13"/>
        <v>0</v>
      </c>
      <c r="BB365" s="14"/>
      <c r="BC365" s="28"/>
    </row>
    <row r="366" spans="1:55" ht="21" x14ac:dyDescent="0.4">
      <c r="A366" s="15">
        <v>365</v>
      </c>
      <c r="B366" s="16">
        <v>32107</v>
      </c>
      <c r="C366" s="17" t="s">
        <v>567</v>
      </c>
      <c r="D366" s="16" t="s">
        <v>280</v>
      </c>
      <c r="E366" s="16" t="s">
        <v>575</v>
      </c>
      <c r="F366" s="16">
        <v>30</v>
      </c>
      <c r="G366" s="16">
        <v>28</v>
      </c>
      <c r="H366" s="18">
        <f t="shared" si="7"/>
        <v>2</v>
      </c>
      <c r="I366" s="19">
        <f t="shared" si="9"/>
        <v>1666.6666666666667</v>
      </c>
      <c r="J366" s="16">
        <v>0</v>
      </c>
      <c r="K366" s="20">
        <v>0</v>
      </c>
      <c r="L366" s="21"/>
      <c r="M366" s="21"/>
      <c r="N366" s="16">
        <v>0</v>
      </c>
      <c r="O366" s="16">
        <v>0</v>
      </c>
      <c r="P366" s="16">
        <v>1</v>
      </c>
      <c r="Q366" s="16">
        <v>1</v>
      </c>
      <c r="R366" s="16">
        <v>0</v>
      </c>
      <c r="S366" s="32">
        <v>25000</v>
      </c>
      <c r="T366" s="19">
        <f t="shared" si="10"/>
        <v>0</v>
      </c>
      <c r="U366" s="19">
        <f t="shared" si="11"/>
        <v>23333</v>
      </c>
      <c r="V366" s="22">
        <v>23333</v>
      </c>
      <c r="W366" s="31">
        <v>0</v>
      </c>
      <c r="X366" s="22">
        <v>0</v>
      </c>
      <c r="Y366" s="22">
        <v>0</v>
      </c>
      <c r="Z366" s="22">
        <v>2500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4000</v>
      </c>
      <c r="AG366" s="22">
        <v>0</v>
      </c>
      <c r="AH366" s="22">
        <v>0</v>
      </c>
      <c r="AI366" s="22">
        <v>980</v>
      </c>
      <c r="AJ366" s="22">
        <v>0</v>
      </c>
      <c r="AK366" s="22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19">
        <f t="shared" si="12"/>
        <v>7480</v>
      </c>
      <c r="AV366" s="22">
        <v>15853.33</v>
      </c>
      <c r="AW366" s="24" t="s">
        <v>54</v>
      </c>
      <c r="AX366" s="25">
        <v>45792</v>
      </c>
      <c r="AY366" s="15"/>
      <c r="AZ366" s="26"/>
      <c r="BA366" s="27">
        <f t="shared" si="13"/>
        <v>3.3333333358314121E-3</v>
      </c>
      <c r="BB366" s="14"/>
      <c r="BC366" s="28"/>
    </row>
    <row r="367" spans="1:55" ht="28.8" x14ac:dyDescent="0.4">
      <c r="A367" s="15">
        <v>366</v>
      </c>
      <c r="B367" s="16">
        <v>30193</v>
      </c>
      <c r="C367" s="17" t="s">
        <v>567</v>
      </c>
      <c r="D367" s="16" t="s">
        <v>212</v>
      </c>
      <c r="E367" s="16" t="s">
        <v>576</v>
      </c>
      <c r="F367" s="16">
        <v>30</v>
      </c>
      <c r="G367" s="16">
        <v>30</v>
      </c>
      <c r="H367" s="18">
        <f t="shared" si="7"/>
        <v>0</v>
      </c>
      <c r="I367" s="19">
        <f t="shared" si="9"/>
        <v>0</v>
      </c>
      <c r="J367" s="16">
        <v>0</v>
      </c>
      <c r="K367" s="20">
        <v>0</v>
      </c>
      <c r="L367" s="21"/>
      <c r="M367" s="21"/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32">
        <v>22000</v>
      </c>
      <c r="T367" s="19">
        <f t="shared" si="10"/>
        <v>0</v>
      </c>
      <c r="U367" s="19">
        <f t="shared" si="11"/>
        <v>22000</v>
      </c>
      <c r="V367" s="22">
        <v>22000</v>
      </c>
      <c r="W367" s="31">
        <v>0</v>
      </c>
      <c r="X367" s="22">
        <v>0</v>
      </c>
      <c r="Y367" s="22">
        <v>0</v>
      </c>
      <c r="Z367" s="22">
        <v>0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3000</v>
      </c>
      <c r="AG367" s="22">
        <v>0</v>
      </c>
      <c r="AH367" s="22">
        <v>0</v>
      </c>
      <c r="AI367" s="22">
        <v>1050</v>
      </c>
      <c r="AJ367" s="22">
        <v>0</v>
      </c>
      <c r="AK367" s="22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19">
        <f t="shared" si="12"/>
        <v>4050</v>
      </c>
      <c r="AV367" s="22">
        <v>17950</v>
      </c>
      <c r="AW367" s="24" t="s">
        <v>54</v>
      </c>
      <c r="AX367" s="25">
        <v>45789</v>
      </c>
      <c r="AY367" s="15"/>
      <c r="AZ367" s="26"/>
      <c r="BA367" s="27">
        <f t="shared" si="13"/>
        <v>0</v>
      </c>
      <c r="BB367" s="14"/>
      <c r="BC367" s="28"/>
    </row>
    <row r="368" spans="1:55" ht="28.8" x14ac:dyDescent="0.4">
      <c r="A368" s="15">
        <v>367</v>
      </c>
      <c r="B368" s="16">
        <v>30222</v>
      </c>
      <c r="C368" s="17" t="s">
        <v>567</v>
      </c>
      <c r="D368" s="16" t="s">
        <v>482</v>
      </c>
      <c r="E368" s="16" t="s">
        <v>577</v>
      </c>
      <c r="F368" s="16">
        <v>30</v>
      </c>
      <c r="G368" s="16">
        <v>26</v>
      </c>
      <c r="H368" s="18">
        <f t="shared" si="7"/>
        <v>4</v>
      </c>
      <c r="I368" s="19">
        <f t="shared" si="9"/>
        <v>2133.3333333333335</v>
      </c>
      <c r="J368" s="16">
        <v>0</v>
      </c>
      <c r="K368" s="20">
        <v>0</v>
      </c>
      <c r="L368" s="21"/>
      <c r="M368" s="21"/>
      <c r="N368" s="16">
        <v>0</v>
      </c>
      <c r="O368" s="16">
        <v>0</v>
      </c>
      <c r="P368" s="16">
        <v>3</v>
      </c>
      <c r="Q368" s="16">
        <v>1</v>
      </c>
      <c r="R368" s="16">
        <v>0</v>
      </c>
      <c r="S368" s="22">
        <v>16000</v>
      </c>
      <c r="T368" s="19">
        <f t="shared" si="10"/>
        <v>0</v>
      </c>
      <c r="U368" s="19">
        <f t="shared" si="11"/>
        <v>13867</v>
      </c>
      <c r="V368" s="22">
        <v>13867</v>
      </c>
      <c r="W368" s="31">
        <v>0</v>
      </c>
      <c r="X368" s="22">
        <v>0</v>
      </c>
      <c r="Y368" s="22">
        <v>0</v>
      </c>
      <c r="Z368" s="22">
        <v>1600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2000</v>
      </c>
      <c r="AG368" s="22">
        <v>0</v>
      </c>
      <c r="AH368" s="22">
        <v>0</v>
      </c>
      <c r="AI368" s="22">
        <v>910</v>
      </c>
      <c r="AJ368" s="22">
        <v>0</v>
      </c>
      <c r="AK368" s="22">
        <v>0</v>
      </c>
      <c r="AL368" s="22">
        <v>0</v>
      </c>
      <c r="AM368" s="22">
        <v>0</v>
      </c>
      <c r="AN368" s="22"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19">
        <f t="shared" si="12"/>
        <v>4510</v>
      </c>
      <c r="AV368" s="22">
        <v>9356.67</v>
      </c>
      <c r="AW368" s="24" t="s">
        <v>54</v>
      </c>
      <c r="AX368" s="25">
        <v>45791</v>
      </c>
      <c r="AY368" s="15"/>
      <c r="AZ368" s="26"/>
      <c r="BA368" s="27">
        <f t="shared" si="13"/>
        <v>-3.3333333321934333E-3</v>
      </c>
      <c r="BB368" s="14"/>
      <c r="BC368" s="28"/>
    </row>
    <row r="369" spans="1:55" ht="28.8" x14ac:dyDescent="0.4">
      <c r="A369" s="15">
        <v>368</v>
      </c>
      <c r="B369" s="16">
        <v>32148</v>
      </c>
      <c r="C369" s="17" t="s">
        <v>567</v>
      </c>
      <c r="D369" s="16" t="s">
        <v>212</v>
      </c>
      <c r="E369" s="16" t="s">
        <v>578</v>
      </c>
      <c r="F369" s="16">
        <v>30</v>
      </c>
      <c r="G369" s="16">
        <v>25</v>
      </c>
      <c r="H369" s="18">
        <f t="shared" si="7"/>
        <v>5</v>
      </c>
      <c r="I369" s="19">
        <f t="shared" si="9"/>
        <v>3666.666666666667</v>
      </c>
      <c r="J369" s="16">
        <v>0</v>
      </c>
      <c r="K369" s="20">
        <v>0</v>
      </c>
      <c r="L369" s="21"/>
      <c r="M369" s="21"/>
      <c r="N369" s="16">
        <v>0</v>
      </c>
      <c r="O369" s="16">
        <v>0</v>
      </c>
      <c r="P369" s="16">
        <v>0</v>
      </c>
      <c r="Q369" s="16">
        <v>0</v>
      </c>
      <c r="R369" s="16">
        <v>5</v>
      </c>
      <c r="S369" s="32">
        <v>22000</v>
      </c>
      <c r="T369" s="19">
        <f t="shared" si="10"/>
        <v>0</v>
      </c>
      <c r="U369" s="19">
        <f t="shared" si="11"/>
        <v>18333</v>
      </c>
      <c r="V369" s="22">
        <v>18333</v>
      </c>
      <c r="W369" s="31">
        <v>0</v>
      </c>
      <c r="X369" s="22">
        <v>0</v>
      </c>
      <c r="Y369" s="22">
        <v>0</v>
      </c>
      <c r="Z369" s="22">
        <v>0</v>
      </c>
      <c r="AA369" s="22">
        <v>0</v>
      </c>
      <c r="AB369" s="22">
        <v>0</v>
      </c>
      <c r="AC369" s="22">
        <v>1251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875</v>
      </c>
      <c r="AJ369" s="22">
        <v>0</v>
      </c>
      <c r="AK369" s="22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19">
        <f t="shared" si="12"/>
        <v>2126</v>
      </c>
      <c r="AV369" s="32">
        <v>16207.33</v>
      </c>
      <c r="AW369" s="24" t="s">
        <v>54</v>
      </c>
      <c r="AX369" s="25">
        <v>45789</v>
      </c>
      <c r="AY369" s="15"/>
      <c r="AZ369" s="26"/>
      <c r="BA369" s="27">
        <f t="shared" si="13"/>
        <v>3.3333333358314121E-3</v>
      </c>
      <c r="BB369" s="26"/>
      <c r="BC369" s="28"/>
    </row>
    <row r="370" spans="1:55" ht="28.8" x14ac:dyDescent="0.4">
      <c r="A370" s="15">
        <v>369</v>
      </c>
      <c r="B370" s="16">
        <v>32157</v>
      </c>
      <c r="C370" s="17" t="s">
        <v>567</v>
      </c>
      <c r="D370" s="16" t="s">
        <v>212</v>
      </c>
      <c r="E370" s="16" t="s">
        <v>579</v>
      </c>
      <c r="F370" s="16">
        <v>30</v>
      </c>
      <c r="G370" s="16">
        <v>26</v>
      </c>
      <c r="H370" s="18">
        <f t="shared" si="7"/>
        <v>4</v>
      </c>
      <c r="I370" s="19">
        <f t="shared" si="9"/>
        <v>2133.3333333333335</v>
      </c>
      <c r="J370" s="16">
        <v>0</v>
      </c>
      <c r="K370" s="20">
        <v>0</v>
      </c>
      <c r="L370" s="21"/>
      <c r="M370" s="21"/>
      <c r="N370" s="16">
        <v>1</v>
      </c>
      <c r="O370" s="16">
        <v>0</v>
      </c>
      <c r="P370" s="16">
        <v>3</v>
      </c>
      <c r="Q370" s="16">
        <v>0</v>
      </c>
      <c r="R370" s="16">
        <v>0</v>
      </c>
      <c r="S370" s="22">
        <v>16000</v>
      </c>
      <c r="T370" s="19">
        <f t="shared" si="10"/>
        <v>0</v>
      </c>
      <c r="U370" s="19">
        <f t="shared" si="11"/>
        <v>14134</v>
      </c>
      <c r="V370" s="22">
        <v>13867</v>
      </c>
      <c r="W370" s="31">
        <v>0</v>
      </c>
      <c r="X370" s="22">
        <v>267</v>
      </c>
      <c r="Y370" s="22">
        <v>0</v>
      </c>
      <c r="Z370" s="22">
        <v>0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910</v>
      </c>
      <c r="AJ370" s="22">
        <v>0</v>
      </c>
      <c r="AK370" s="22">
        <v>0</v>
      </c>
      <c r="AL370" s="22">
        <v>0</v>
      </c>
      <c r="AM370" s="22">
        <v>0</v>
      </c>
      <c r="AN370" s="22">
        <v>0</v>
      </c>
      <c r="AO370" s="22">
        <v>0</v>
      </c>
      <c r="AP370" s="22">
        <v>0</v>
      </c>
      <c r="AQ370" s="22">
        <v>0</v>
      </c>
      <c r="AR370" s="22">
        <v>0</v>
      </c>
      <c r="AS370" s="22">
        <v>0</v>
      </c>
      <c r="AT370" s="22">
        <v>0</v>
      </c>
      <c r="AU370" s="19">
        <f t="shared" si="12"/>
        <v>910</v>
      </c>
      <c r="AV370" s="32">
        <v>13223.33</v>
      </c>
      <c r="AW370" s="24" t="s">
        <v>54</v>
      </c>
      <c r="AX370" s="25">
        <v>45789</v>
      </c>
      <c r="AY370" s="15"/>
      <c r="AZ370" s="26"/>
      <c r="BA370" s="27">
        <f t="shared" si="13"/>
        <v>0.33666666666795209</v>
      </c>
      <c r="BB370" s="26"/>
      <c r="BC370" s="28"/>
    </row>
    <row r="371" spans="1:55" ht="28.8" x14ac:dyDescent="0.4">
      <c r="A371" s="15">
        <v>370</v>
      </c>
      <c r="B371" s="36">
        <v>29060</v>
      </c>
      <c r="C371" s="37" t="s">
        <v>580</v>
      </c>
      <c r="D371" s="36" t="s">
        <v>280</v>
      </c>
      <c r="E371" s="36" t="s">
        <v>577</v>
      </c>
      <c r="F371" s="16">
        <v>30</v>
      </c>
      <c r="G371" s="16">
        <v>30</v>
      </c>
      <c r="H371" s="18">
        <f t="shared" si="7"/>
        <v>0</v>
      </c>
      <c r="I371" s="19">
        <f t="shared" si="9"/>
        <v>0</v>
      </c>
      <c r="J371" s="16">
        <v>0</v>
      </c>
      <c r="K371" s="20">
        <v>0</v>
      </c>
      <c r="L371" s="21"/>
      <c r="M371" s="21"/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22">
        <v>25000</v>
      </c>
      <c r="T371" s="19">
        <f t="shared" si="10"/>
        <v>0</v>
      </c>
      <c r="U371" s="19">
        <f t="shared" si="11"/>
        <v>25000</v>
      </c>
      <c r="V371" s="22">
        <v>25000</v>
      </c>
      <c r="W371" s="31">
        <v>0</v>
      </c>
      <c r="X371" s="22">
        <v>0</v>
      </c>
      <c r="Y371" s="22">
        <v>0</v>
      </c>
      <c r="Z371" s="22">
        <v>0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1050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19">
        <f t="shared" si="12"/>
        <v>1050</v>
      </c>
      <c r="AV371" s="32">
        <f>25000-1050</f>
        <v>23950</v>
      </c>
      <c r="AW371" s="24" t="s">
        <v>54</v>
      </c>
      <c r="AX371" s="34"/>
      <c r="AY371" s="15"/>
      <c r="AZ371" s="26"/>
      <c r="BA371" s="27">
        <f t="shared" si="13"/>
        <v>0</v>
      </c>
      <c r="BB371" s="26"/>
      <c r="BC371" s="28"/>
    </row>
    <row r="372" spans="1:55" ht="28.8" x14ac:dyDescent="0.4">
      <c r="A372" s="15">
        <v>371</v>
      </c>
      <c r="B372" s="36">
        <v>32169</v>
      </c>
      <c r="C372" s="37" t="s">
        <v>580</v>
      </c>
      <c r="D372" s="36" t="s">
        <v>223</v>
      </c>
      <c r="E372" s="36" t="s">
        <v>581</v>
      </c>
      <c r="F372" s="16">
        <v>30</v>
      </c>
      <c r="G372" s="16">
        <v>30</v>
      </c>
      <c r="H372" s="18">
        <f t="shared" si="7"/>
        <v>0</v>
      </c>
      <c r="I372" s="19">
        <f t="shared" si="9"/>
        <v>0</v>
      </c>
      <c r="J372" s="16">
        <v>0</v>
      </c>
      <c r="K372" s="20">
        <v>0</v>
      </c>
      <c r="L372" s="21"/>
      <c r="M372" s="21"/>
      <c r="N372" s="16">
        <v>0</v>
      </c>
      <c r="O372" s="16">
        <v>0</v>
      </c>
      <c r="P372" s="16">
        <v>0</v>
      </c>
      <c r="Q372" s="16">
        <v>0</v>
      </c>
      <c r="R372" s="16">
        <v>0</v>
      </c>
      <c r="S372" s="22">
        <v>16000</v>
      </c>
      <c r="T372" s="19">
        <f t="shared" si="10"/>
        <v>0</v>
      </c>
      <c r="U372" s="19">
        <f t="shared" si="11"/>
        <v>16000</v>
      </c>
      <c r="V372" s="22">
        <v>16000</v>
      </c>
      <c r="W372" s="31">
        <v>0</v>
      </c>
      <c r="X372" s="22">
        <v>0</v>
      </c>
      <c r="Y372" s="22">
        <v>0</v>
      </c>
      <c r="Z372" s="22">
        <v>0</v>
      </c>
      <c r="AA372" s="22">
        <v>0</v>
      </c>
      <c r="AB372" s="22">
        <v>0</v>
      </c>
      <c r="AC372" s="22">
        <v>0</v>
      </c>
      <c r="AD372" s="22">
        <v>0</v>
      </c>
      <c r="AE372" s="22">
        <v>0</v>
      </c>
      <c r="AF372" s="22">
        <v>0</v>
      </c>
      <c r="AG372" s="22">
        <v>0</v>
      </c>
      <c r="AH372" s="22">
        <v>0</v>
      </c>
      <c r="AI372" s="22">
        <v>1050</v>
      </c>
      <c r="AJ372" s="22">
        <v>0</v>
      </c>
      <c r="AK372" s="22">
        <v>0</v>
      </c>
      <c r="AL372" s="22">
        <v>0</v>
      </c>
      <c r="AM372" s="22">
        <v>0</v>
      </c>
      <c r="AN372" s="22">
        <v>0</v>
      </c>
      <c r="AO372" s="22">
        <v>0</v>
      </c>
      <c r="AP372" s="22">
        <v>0</v>
      </c>
      <c r="AQ372" s="22">
        <v>0</v>
      </c>
      <c r="AR372" s="22">
        <v>0</v>
      </c>
      <c r="AS372" s="22">
        <v>0</v>
      </c>
      <c r="AT372" s="22">
        <v>0</v>
      </c>
      <c r="AU372" s="19">
        <f t="shared" si="12"/>
        <v>1050</v>
      </c>
      <c r="AV372" s="32">
        <f t="shared" ref="AV372:AV375" si="14">16000-1050</f>
        <v>14950</v>
      </c>
      <c r="AW372" s="24" t="s">
        <v>54</v>
      </c>
      <c r="AX372" s="34"/>
      <c r="AY372" s="15"/>
      <c r="AZ372" s="26"/>
      <c r="BA372" s="27">
        <f t="shared" si="13"/>
        <v>1.8189894035458565E-12</v>
      </c>
      <c r="BB372" s="26"/>
      <c r="BC372" s="28"/>
    </row>
    <row r="373" spans="1:55" ht="28.8" x14ac:dyDescent="0.4">
      <c r="A373" s="15">
        <v>372</v>
      </c>
      <c r="B373" s="36">
        <v>80688</v>
      </c>
      <c r="C373" s="37" t="s">
        <v>580</v>
      </c>
      <c r="D373" s="36" t="s">
        <v>221</v>
      </c>
      <c r="E373" s="36" t="s">
        <v>582</v>
      </c>
      <c r="F373" s="16">
        <v>30</v>
      </c>
      <c r="G373" s="16">
        <v>30</v>
      </c>
      <c r="H373" s="18">
        <f t="shared" si="7"/>
        <v>0</v>
      </c>
      <c r="I373" s="19">
        <f t="shared" si="9"/>
        <v>0</v>
      </c>
      <c r="J373" s="16">
        <v>0</v>
      </c>
      <c r="K373" s="20">
        <v>0</v>
      </c>
      <c r="L373" s="21"/>
      <c r="M373" s="21"/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>
        <v>16000</v>
      </c>
      <c r="T373" s="19">
        <f t="shared" si="10"/>
        <v>0</v>
      </c>
      <c r="U373" s="19">
        <f t="shared" si="11"/>
        <v>16000</v>
      </c>
      <c r="V373" s="22">
        <v>16000</v>
      </c>
      <c r="W373" s="31">
        <v>0</v>
      </c>
      <c r="X373" s="22">
        <v>0</v>
      </c>
      <c r="Y373" s="22">
        <v>0</v>
      </c>
      <c r="Z373" s="22">
        <v>0</v>
      </c>
      <c r="AA373" s="22">
        <v>0</v>
      </c>
      <c r="AB373" s="22">
        <v>0</v>
      </c>
      <c r="AC373" s="22">
        <v>0</v>
      </c>
      <c r="AD373" s="22">
        <v>0</v>
      </c>
      <c r="AE373" s="22">
        <v>0</v>
      </c>
      <c r="AF373" s="22">
        <v>0</v>
      </c>
      <c r="AG373" s="22">
        <v>0</v>
      </c>
      <c r="AH373" s="22">
        <v>0</v>
      </c>
      <c r="AI373" s="22">
        <v>1050</v>
      </c>
      <c r="AJ373" s="22">
        <v>0</v>
      </c>
      <c r="AK373" s="22">
        <v>0</v>
      </c>
      <c r="AL373" s="22">
        <v>0</v>
      </c>
      <c r="AM373" s="22">
        <v>0</v>
      </c>
      <c r="AN373" s="22">
        <v>0</v>
      </c>
      <c r="AO373" s="22">
        <v>0</v>
      </c>
      <c r="AP373" s="22">
        <v>0</v>
      </c>
      <c r="AQ373" s="22">
        <v>0</v>
      </c>
      <c r="AR373" s="22">
        <v>0</v>
      </c>
      <c r="AS373" s="22">
        <v>0</v>
      </c>
      <c r="AT373" s="22">
        <v>0</v>
      </c>
      <c r="AU373" s="19">
        <f t="shared" si="12"/>
        <v>1050</v>
      </c>
      <c r="AV373" s="22">
        <f t="shared" si="14"/>
        <v>14950</v>
      </c>
      <c r="AW373" s="24" t="s">
        <v>54</v>
      </c>
      <c r="AX373" s="34"/>
      <c r="AY373" s="15"/>
      <c r="AZ373" s="26"/>
      <c r="BA373" s="27">
        <f t="shared" si="13"/>
        <v>1.8189894035458565E-12</v>
      </c>
      <c r="BB373" s="14"/>
      <c r="BC373" s="28"/>
    </row>
    <row r="374" spans="1:55" ht="28.8" x14ac:dyDescent="0.4">
      <c r="A374" s="15">
        <v>373</v>
      </c>
      <c r="B374" s="36">
        <v>80690</v>
      </c>
      <c r="C374" s="37" t="s">
        <v>580</v>
      </c>
      <c r="D374" s="36" t="s">
        <v>221</v>
      </c>
      <c r="E374" s="36" t="s">
        <v>173</v>
      </c>
      <c r="F374" s="16">
        <v>30</v>
      </c>
      <c r="G374" s="16">
        <v>30</v>
      </c>
      <c r="H374" s="18">
        <f t="shared" si="7"/>
        <v>0</v>
      </c>
      <c r="I374" s="19">
        <f t="shared" si="9"/>
        <v>0</v>
      </c>
      <c r="J374" s="16">
        <v>0</v>
      </c>
      <c r="K374" s="20">
        <v>0</v>
      </c>
      <c r="L374" s="21"/>
      <c r="M374" s="21"/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22">
        <v>16000</v>
      </c>
      <c r="T374" s="19">
        <f t="shared" si="10"/>
        <v>0</v>
      </c>
      <c r="U374" s="19">
        <f t="shared" si="11"/>
        <v>16000</v>
      </c>
      <c r="V374" s="22">
        <v>16000</v>
      </c>
      <c r="W374" s="31">
        <v>0</v>
      </c>
      <c r="X374" s="22">
        <v>0</v>
      </c>
      <c r="Y374" s="22">
        <v>0</v>
      </c>
      <c r="Z374" s="22">
        <v>0</v>
      </c>
      <c r="AA374" s="22">
        <v>0</v>
      </c>
      <c r="AB374" s="22">
        <v>0</v>
      </c>
      <c r="AC374" s="22">
        <v>0</v>
      </c>
      <c r="AD374" s="22">
        <v>0</v>
      </c>
      <c r="AE374" s="22">
        <v>0</v>
      </c>
      <c r="AF374" s="22">
        <v>0</v>
      </c>
      <c r="AG374" s="22">
        <v>0</v>
      </c>
      <c r="AH374" s="22">
        <v>0</v>
      </c>
      <c r="AI374" s="22">
        <v>1050</v>
      </c>
      <c r="AJ374" s="22">
        <v>0</v>
      </c>
      <c r="AK374" s="22">
        <v>0</v>
      </c>
      <c r="AL374" s="22">
        <v>0</v>
      </c>
      <c r="AM374" s="22">
        <v>0</v>
      </c>
      <c r="AN374" s="22">
        <v>0</v>
      </c>
      <c r="AO374" s="22">
        <v>0</v>
      </c>
      <c r="AP374" s="22">
        <v>0</v>
      </c>
      <c r="AQ374" s="22">
        <v>0</v>
      </c>
      <c r="AR374" s="22">
        <v>0</v>
      </c>
      <c r="AS374" s="22">
        <v>0</v>
      </c>
      <c r="AT374" s="22">
        <v>0</v>
      </c>
      <c r="AU374" s="19">
        <f t="shared" si="12"/>
        <v>1050</v>
      </c>
      <c r="AV374" s="22">
        <f t="shared" si="14"/>
        <v>14950</v>
      </c>
      <c r="AW374" s="24" t="s">
        <v>54</v>
      </c>
      <c r="AX374" s="34"/>
      <c r="AY374" s="15"/>
      <c r="AZ374" s="26"/>
      <c r="BA374" s="27">
        <f t="shared" si="13"/>
        <v>1.8189894035458565E-12</v>
      </c>
      <c r="BB374" s="14"/>
      <c r="BC374" s="28"/>
    </row>
    <row r="375" spans="1:55" ht="21" x14ac:dyDescent="0.4">
      <c r="A375" s="15">
        <v>374</v>
      </c>
      <c r="B375" s="36">
        <v>80728</v>
      </c>
      <c r="C375" s="37" t="s">
        <v>580</v>
      </c>
      <c r="D375" s="36" t="s">
        <v>221</v>
      </c>
      <c r="E375" s="36" t="s">
        <v>583</v>
      </c>
      <c r="F375" s="16">
        <v>30</v>
      </c>
      <c r="G375" s="16">
        <v>30</v>
      </c>
      <c r="H375" s="18">
        <f t="shared" si="7"/>
        <v>0</v>
      </c>
      <c r="I375" s="19">
        <f t="shared" si="9"/>
        <v>0</v>
      </c>
      <c r="J375" s="16">
        <v>0</v>
      </c>
      <c r="K375" s="20">
        <v>0</v>
      </c>
      <c r="L375" s="21"/>
      <c r="M375" s="21"/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>
        <v>16000</v>
      </c>
      <c r="T375" s="19">
        <f t="shared" si="10"/>
        <v>0</v>
      </c>
      <c r="U375" s="19">
        <f t="shared" si="11"/>
        <v>16000</v>
      </c>
      <c r="V375" s="22">
        <v>16000</v>
      </c>
      <c r="W375" s="31">
        <v>0</v>
      </c>
      <c r="X375" s="22">
        <v>0</v>
      </c>
      <c r="Y375" s="22">
        <v>0</v>
      </c>
      <c r="Z375" s="22">
        <v>0</v>
      </c>
      <c r="AA375" s="22">
        <v>0</v>
      </c>
      <c r="AB375" s="22">
        <v>0</v>
      </c>
      <c r="AC375" s="22">
        <v>0</v>
      </c>
      <c r="AD375" s="22">
        <v>0</v>
      </c>
      <c r="AE375" s="22">
        <v>0</v>
      </c>
      <c r="AF375" s="22">
        <v>0</v>
      </c>
      <c r="AG375" s="22">
        <v>0</v>
      </c>
      <c r="AH375" s="22">
        <v>0</v>
      </c>
      <c r="AI375" s="22">
        <v>1050</v>
      </c>
      <c r="AJ375" s="22">
        <v>0</v>
      </c>
      <c r="AK375" s="22">
        <v>0</v>
      </c>
      <c r="AL375" s="22">
        <v>0</v>
      </c>
      <c r="AM375" s="22">
        <v>0</v>
      </c>
      <c r="AN375" s="22">
        <v>0</v>
      </c>
      <c r="AO375" s="22">
        <v>0</v>
      </c>
      <c r="AP375" s="22">
        <v>0</v>
      </c>
      <c r="AQ375" s="22">
        <v>0</v>
      </c>
      <c r="AR375" s="22">
        <v>0</v>
      </c>
      <c r="AS375" s="22">
        <v>0</v>
      </c>
      <c r="AT375" s="22">
        <v>0</v>
      </c>
      <c r="AU375" s="19">
        <f t="shared" si="12"/>
        <v>1050</v>
      </c>
      <c r="AV375" s="22">
        <f t="shared" si="14"/>
        <v>14950</v>
      </c>
      <c r="AW375" s="24" t="s">
        <v>54</v>
      </c>
      <c r="AX375" s="34"/>
      <c r="AY375" s="15"/>
      <c r="AZ375" s="26"/>
      <c r="BA375" s="27">
        <f t="shared" si="13"/>
        <v>1.8189894035458565E-12</v>
      </c>
      <c r="BB375" s="14"/>
      <c r="BC375" s="28"/>
    </row>
    <row r="376" spans="1:55" ht="28.8" x14ac:dyDescent="0.4">
      <c r="A376" s="15">
        <v>375</v>
      </c>
      <c r="B376" s="16">
        <v>28091</v>
      </c>
      <c r="C376" s="17" t="s">
        <v>580</v>
      </c>
      <c r="D376" s="16" t="s">
        <v>280</v>
      </c>
      <c r="E376" s="16" t="s">
        <v>584</v>
      </c>
      <c r="F376" s="16">
        <v>30</v>
      </c>
      <c r="G376" s="16">
        <v>27</v>
      </c>
      <c r="H376" s="18">
        <f t="shared" si="7"/>
        <v>3</v>
      </c>
      <c r="I376" s="19">
        <f t="shared" si="9"/>
        <v>2500</v>
      </c>
      <c r="J376" s="16">
        <v>0</v>
      </c>
      <c r="K376" s="20">
        <v>0</v>
      </c>
      <c r="L376" s="21"/>
      <c r="M376" s="21"/>
      <c r="N376" s="16">
        <v>0</v>
      </c>
      <c r="O376" s="16">
        <v>0</v>
      </c>
      <c r="P376" s="16">
        <v>2</v>
      </c>
      <c r="Q376" s="16">
        <v>1</v>
      </c>
      <c r="R376" s="16">
        <v>0</v>
      </c>
      <c r="S376" s="32">
        <v>25000</v>
      </c>
      <c r="T376" s="19">
        <f t="shared" si="10"/>
        <v>0</v>
      </c>
      <c r="U376" s="19">
        <f t="shared" si="11"/>
        <v>22500</v>
      </c>
      <c r="V376" s="22">
        <v>22500</v>
      </c>
      <c r="W376" s="31">
        <v>0</v>
      </c>
      <c r="X376" s="22">
        <v>0</v>
      </c>
      <c r="Y376" s="22">
        <v>0</v>
      </c>
      <c r="Z376" s="22">
        <v>2500</v>
      </c>
      <c r="AA376" s="22">
        <v>0</v>
      </c>
      <c r="AB376" s="22">
        <v>0</v>
      </c>
      <c r="AC376" s="22">
        <v>0</v>
      </c>
      <c r="AD376" s="22">
        <v>0</v>
      </c>
      <c r="AE376" s="22">
        <v>0</v>
      </c>
      <c r="AF376" s="22">
        <v>0</v>
      </c>
      <c r="AG376" s="22">
        <v>0</v>
      </c>
      <c r="AH376" s="22">
        <v>0</v>
      </c>
      <c r="AI376" s="22">
        <v>945</v>
      </c>
      <c r="AJ376" s="22">
        <v>0</v>
      </c>
      <c r="AK376" s="22">
        <v>0</v>
      </c>
      <c r="AL376" s="22">
        <v>0</v>
      </c>
      <c r="AM376" s="22">
        <v>0</v>
      </c>
      <c r="AN376" s="22">
        <v>0</v>
      </c>
      <c r="AO376" s="22">
        <v>0</v>
      </c>
      <c r="AP376" s="22">
        <v>0</v>
      </c>
      <c r="AQ376" s="22">
        <v>0</v>
      </c>
      <c r="AR376" s="22">
        <v>0</v>
      </c>
      <c r="AS376" s="22">
        <v>0</v>
      </c>
      <c r="AT376" s="22">
        <v>0</v>
      </c>
      <c r="AU376" s="19">
        <f t="shared" si="12"/>
        <v>3445</v>
      </c>
      <c r="AV376" s="32">
        <f>18023+1102-70</f>
        <v>19055</v>
      </c>
      <c r="AW376" s="24" t="s">
        <v>54</v>
      </c>
      <c r="AX376" s="25">
        <v>45789</v>
      </c>
      <c r="AY376" s="15" t="s">
        <v>585</v>
      </c>
      <c r="AZ376" s="26"/>
      <c r="BA376" s="27">
        <f t="shared" si="13"/>
        <v>0</v>
      </c>
      <c r="BB376" s="26"/>
      <c r="BC376" s="28"/>
    </row>
    <row r="377" spans="1:55" ht="21" x14ac:dyDescent="0.4">
      <c r="A377" s="15">
        <v>376</v>
      </c>
      <c r="B377" s="16">
        <v>80403</v>
      </c>
      <c r="C377" s="17" t="s">
        <v>580</v>
      </c>
      <c r="D377" s="16" t="s">
        <v>223</v>
      </c>
      <c r="E377" s="16" t="s">
        <v>586</v>
      </c>
      <c r="F377" s="16">
        <v>30</v>
      </c>
      <c r="G377" s="16">
        <v>10</v>
      </c>
      <c r="H377" s="18">
        <f t="shared" si="7"/>
        <v>20</v>
      </c>
      <c r="I377" s="19">
        <f t="shared" si="9"/>
        <v>10666.666666666668</v>
      </c>
      <c r="J377" s="16">
        <v>0</v>
      </c>
      <c r="K377" s="20">
        <v>0</v>
      </c>
      <c r="L377" s="21"/>
      <c r="M377" s="21"/>
      <c r="N377" s="16">
        <v>0</v>
      </c>
      <c r="O377" s="16">
        <v>0</v>
      </c>
      <c r="P377" s="16">
        <v>0</v>
      </c>
      <c r="Q377" s="16">
        <v>0</v>
      </c>
      <c r="R377" s="16">
        <v>20</v>
      </c>
      <c r="S377" s="22">
        <v>16000</v>
      </c>
      <c r="T377" s="19">
        <f t="shared" si="10"/>
        <v>0</v>
      </c>
      <c r="U377" s="19">
        <f t="shared" si="11"/>
        <v>5333</v>
      </c>
      <c r="V377" s="22">
        <v>5333</v>
      </c>
      <c r="W377" s="31">
        <v>0</v>
      </c>
      <c r="X377" s="22">
        <v>0</v>
      </c>
      <c r="Y377" s="22">
        <v>0</v>
      </c>
      <c r="Z377" s="22">
        <v>0</v>
      </c>
      <c r="AA377" s="22">
        <v>0</v>
      </c>
      <c r="AB377" s="22">
        <v>0</v>
      </c>
      <c r="AC377" s="22">
        <v>0</v>
      </c>
      <c r="AD377" s="22">
        <v>0</v>
      </c>
      <c r="AE377" s="22">
        <v>0</v>
      </c>
      <c r="AF377" s="22">
        <v>0</v>
      </c>
      <c r="AG377" s="22">
        <v>0</v>
      </c>
      <c r="AH377" s="22">
        <v>0</v>
      </c>
      <c r="AI377" s="22">
        <v>350</v>
      </c>
      <c r="AJ377" s="22">
        <v>4830</v>
      </c>
      <c r="AK377" s="22">
        <v>0</v>
      </c>
      <c r="AL377" s="22">
        <v>0</v>
      </c>
      <c r="AM377" s="22">
        <v>0</v>
      </c>
      <c r="AN377" s="22">
        <v>0</v>
      </c>
      <c r="AO377" s="22">
        <v>0</v>
      </c>
      <c r="AP377" s="22">
        <v>0</v>
      </c>
      <c r="AQ377" s="22">
        <v>0</v>
      </c>
      <c r="AR377" s="22">
        <v>0</v>
      </c>
      <c r="AS377" s="22">
        <v>0</v>
      </c>
      <c r="AT377" s="22">
        <v>0</v>
      </c>
      <c r="AU377" s="19">
        <f t="shared" si="12"/>
        <v>5180</v>
      </c>
      <c r="AV377" s="22">
        <f>4983.33-4830</f>
        <v>153.32999999999993</v>
      </c>
      <c r="AW377" s="24"/>
      <c r="AX377" s="34"/>
      <c r="AY377" s="15"/>
      <c r="AZ377" s="26"/>
      <c r="BA377" s="27">
        <f t="shared" si="13"/>
        <v>3.3333333340124227E-3</v>
      </c>
      <c r="BB377" s="14"/>
      <c r="BC377" s="28"/>
    </row>
    <row r="378" spans="1:55" ht="28.8" x14ac:dyDescent="0.4">
      <c r="A378" s="15">
        <v>377</v>
      </c>
      <c r="B378" s="16">
        <v>80404</v>
      </c>
      <c r="C378" s="17" t="s">
        <v>580</v>
      </c>
      <c r="D378" s="16" t="s">
        <v>221</v>
      </c>
      <c r="E378" s="16" t="s">
        <v>587</v>
      </c>
      <c r="F378" s="16">
        <v>30</v>
      </c>
      <c r="G378" s="16">
        <v>11</v>
      </c>
      <c r="H378" s="18">
        <f t="shared" si="7"/>
        <v>19</v>
      </c>
      <c r="I378" s="19">
        <f t="shared" si="9"/>
        <v>10133.333333333334</v>
      </c>
      <c r="J378" s="16">
        <v>0</v>
      </c>
      <c r="K378" s="20">
        <v>0</v>
      </c>
      <c r="L378" s="21"/>
      <c r="M378" s="21"/>
      <c r="N378" s="16">
        <v>0</v>
      </c>
      <c r="O378" s="16">
        <v>0</v>
      </c>
      <c r="P378" s="16">
        <v>0</v>
      </c>
      <c r="Q378" s="16">
        <v>0</v>
      </c>
      <c r="R378" s="16">
        <v>19</v>
      </c>
      <c r="S378" s="22">
        <v>16000</v>
      </c>
      <c r="T378" s="19">
        <f t="shared" si="10"/>
        <v>0</v>
      </c>
      <c r="U378" s="19">
        <f t="shared" si="11"/>
        <v>5867</v>
      </c>
      <c r="V378" s="22">
        <v>5867</v>
      </c>
      <c r="W378" s="31">
        <v>0</v>
      </c>
      <c r="X378" s="22">
        <v>0</v>
      </c>
      <c r="Y378" s="22">
        <v>0</v>
      </c>
      <c r="Z378" s="22">
        <v>0</v>
      </c>
      <c r="AA378" s="22">
        <v>0</v>
      </c>
      <c r="AB378" s="22">
        <v>0</v>
      </c>
      <c r="AC378" s="22">
        <v>0</v>
      </c>
      <c r="AD378" s="22">
        <v>0</v>
      </c>
      <c r="AE378" s="22">
        <v>0</v>
      </c>
      <c r="AF378" s="22">
        <v>0</v>
      </c>
      <c r="AG378" s="22">
        <v>0</v>
      </c>
      <c r="AH378" s="22">
        <v>0</v>
      </c>
      <c r="AI378" s="22">
        <v>385</v>
      </c>
      <c r="AJ378" s="22">
        <v>0</v>
      </c>
      <c r="AK378" s="22">
        <v>0</v>
      </c>
      <c r="AL378" s="22">
        <v>0</v>
      </c>
      <c r="AM378" s="22">
        <v>0</v>
      </c>
      <c r="AN378" s="22">
        <v>0</v>
      </c>
      <c r="AO378" s="22">
        <v>0</v>
      </c>
      <c r="AP378" s="22">
        <v>0</v>
      </c>
      <c r="AQ378" s="22">
        <v>0</v>
      </c>
      <c r="AR378" s="22">
        <v>0</v>
      </c>
      <c r="AS378" s="22">
        <v>0</v>
      </c>
      <c r="AT378" s="22">
        <v>0</v>
      </c>
      <c r="AU378" s="19">
        <f t="shared" si="12"/>
        <v>385</v>
      </c>
      <c r="AV378" s="22">
        <v>5481.67</v>
      </c>
      <c r="AW378" s="24"/>
      <c r="AX378" s="34"/>
      <c r="AY378" s="15"/>
      <c r="AZ378" s="26"/>
      <c r="BA378" s="27">
        <f t="shared" si="13"/>
        <v>-3.333333333102928E-3</v>
      </c>
      <c r="BB378" s="14"/>
      <c r="BC378" s="28"/>
    </row>
    <row r="379" spans="1:55" ht="28.8" x14ac:dyDescent="0.4">
      <c r="A379" s="15">
        <v>378</v>
      </c>
      <c r="B379" s="16">
        <v>80414</v>
      </c>
      <c r="C379" s="17" t="s">
        <v>580</v>
      </c>
      <c r="D379" s="16" t="s">
        <v>223</v>
      </c>
      <c r="E379" s="16" t="s">
        <v>588</v>
      </c>
      <c r="F379" s="16">
        <v>30</v>
      </c>
      <c r="G379" s="16">
        <v>22</v>
      </c>
      <c r="H379" s="18">
        <f t="shared" si="7"/>
        <v>8</v>
      </c>
      <c r="I379" s="19">
        <f t="shared" si="9"/>
        <v>5333.333333333333</v>
      </c>
      <c r="J379" s="16">
        <v>0</v>
      </c>
      <c r="K379" s="20">
        <v>0</v>
      </c>
      <c r="L379" s="21"/>
      <c r="M379" s="21"/>
      <c r="N379" s="16">
        <v>0</v>
      </c>
      <c r="O379" s="16">
        <v>0</v>
      </c>
      <c r="P379" s="16">
        <v>1</v>
      </c>
      <c r="Q379" s="16">
        <v>1</v>
      </c>
      <c r="R379" s="16">
        <v>6</v>
      </c>
      <c r="S379" s="32">
        <v>20000</v>
      </c>
      <c r="T379" s="19">
        <f t="shared" si="10"/>
        <v>0</v>
      </c>
      <c r="U379" s="19">
        <f t="shared" si="11"/>
        <v>14667</v>
      </c>
      <c r="V379" s="22">
        <v>14667</v>
      </c>
      <c r="W379" s="31">
        <v>0</v>
      </c>
      <c r="X379" s="22">
        <v>0</v>
      </c>
      <c r="Y379" s="22">
        <v>0</v>
      </c>
      <c r="Z379" s="22">
        <v>2000</v>
      </c>
      <c r="AA379" s="22">
        <v>0</v>
      </c>
      <c r="AB379" s="22">
        <v>0</v>
      </c>
      <c r="AC379" s="22">
        <v>1029</v>
      </c>
      <c r="AD379" s="22">
        <v>0</v>
      </c>
      <c r="AE379" s="22">
        <v>0</v>
      </c>
      <c r="AF379" s="22">
        <v>0</v>
      </c>
      <c r="AG379" s="22">
        <v>0</v>
      </c>
      <c r="AH379" s="22">
        <v>0</v>
      </c>
      <c r="AI379" s="22">
        <v>770</v>
      </c>
      <c r="AJ379" s="22">
        <v>0</v>
      </c>
      <c r="AK379" s="22">
        <v>0</v>
      </c>
      <c r="AL379" s="22">
        <v>0</v>
      </c>
      <c r="AM379" s="22">
        <v>0</v>
      </c>
      <c r="AN379" s="22">
        <v>0</v>
      </c>
      <c r="AO379" s="22">
        <v>0</v>
      </c>
      <c r="AP379" s="22">
        <v>0</v>
      </c>
      <c r="AQ379" s="22">
        <v>0</v>
      </c>
      <c r="AR379" s="22">
        <v>0</v>
      </c>
      <c r="AS379" s="22">
        <v>0</v>
      </c>
      <c r="AT379" s="22">
        <v>0</v>
      </c>
      <c r="AU379" s="19">
        <f t="shared" si="12"/>
        <v>3799</v>
      </c>
      <c r="AV379" s="22">
        <v>10867.67</v>
      </c>
      <c r="AW379" s="24" t="s">
        <v>54</v>
      </c>
      <c r="AX379" s="25">
        <v>45789</v>
      </c>
      <c r="AY379" s="15"/>
      <c r="AZ379" s="26"/>
      <c r="BA379" s="27">
        <f t="shared" si="13"/>
        <v>-3.3333333340124227E-3</v>
      </c>
      <c r="BB379" s="14"/>
      <c r="BC379" s="28"/>
    </row>
    <row r="380" spans="1:55" ht="28.8" x14ac:dyDescent="0.4">
      <c r="A380" s="15">
        <v>379</v>
      </c>
      <c r="B380" s="16">
        <v>30057</v>
      </c>
      <c r="C380" s="17" t="s">
        <v>580</v>
      </c>
      <c r="D380" s="16" t="s">
        <v>229</v>
      </c>
      <c r="E380" s="16" t="s">
        <v>589</v>
      </c>
      <c r="F380" s="16">
        <v>30</v>
      </c>
      <c r="G380" s="16">
        <v>13</v>
      </c>
      <c r="H380" s="18">
        <f t="shared" si="7"/>
        <v>17</v>
      </c>
      <c r="I380" s="19">
        <f t="shared" si="9"/>
        <v>9066.6666666666679</v>
      </c>
      <c r="J380" s="16">
        <v>0</v>
      </c>
      <c r="K380" s="20">
        <v>0</v>
      </c>
      <c r="L380" s="21"/>
      <c r="M380" s="21"/>
      <c r="N380" s="16">
        <v>0</v>
      </c>
      <c r="O380" s="16">
        <v>0</v>
      </c>
      <c r="P380" s="16">
        <v>0</v>
      </c>
      <c r="Q380" s="16">
        <v>0</v>
      </c>
      <c r="R380" s="16">
        <v>17</v>
      </c>
      <c r="S380" s="22">
        <v>16000</v>
      </c>
      <c r="T380" s="19">
        <f t="shared" si="10"/>
        <v>0</v>
      </c>
      <c r="U380" s="19">
        <f t="shared" si="11"/>
        <v>6933</v>
      </c>
      <c r="V380" s="22">
        <v>6933</v>
      </c>
      <c r="W380" s="31">
        <v>0</v>
      </c>
      <c r="X380" s="22">
        <v>0</v>
      </c>
      <c r="Y380" s="22">
        <v>0</v>
      </c>
      <c r="Z380" s="22">
        <v>0</v>
      </c>
      <c r="AA380" s="22">
        <v>0</v>
      </c>
      <c r="AB380" s="22">
        <v>0</v>
      </c>
      <c r="AC380" s="22">
        <v>0</v>
      </c>
      <c r="AD380" s="22">
        <v>0</v>
      </c>
      <c r="AE380" s="22">
        <v>0</v>
      </c>
      <c r="AF380" s="22">
        <v>0</v>
      </c>
      <c r="AG380" s="22">
        <v>0</v>
      </c>
      <c r="AH380" s="22">
        <v>0</v>
      </c>
      <c r="AI380" s="22">
        <v>455</v>
      </c>
      <c r="AJ380" s="22">
        <v>0</v>
      </c>
      <c r="AK380" s="22">
        <v>0</v>
      </c>
      <c r="AL380" s="22">
        <v>0</v>
      </c>
      <c r="AM380" s="22">
        <v>0</v>
      </c>
      <c r="AN380" s="22">
        <v>0</v>
      </c>
      <c r="AO380" s="22">
        <v>0</v>
      </c>
      <c r="AP380" s="22">
        <v>0</v>
      </c>
      <c r="AQ380" s="22">
        <v>0</v>
      </c>
      <c r="AR380" s="22">
        <v>0</v>
      </c>
      <c r="AS380" s="22">
        <v>0</v>
      </c>
      <c r="AT380" s="22">
        <v>0</v>
      </c>
      <c r="AU380" s="19">
        <f t="shared" si="12"/>
        <v>455</v>
      </c>
      <c r="AV380" s="22">
        <v>6478.33</v>
      </c>
      <c r="AW380" s="24"/>
      <c r="AX380" s="34"/>
      <c r="AY380" s="15"/>
      <c r="AZ380" s="26"/>
      <c r="BA380" s="27">
        <f t="shared" si="13"/>
        <v>3.3333333340124227E-3</v>
      </c>
      <c r="BB380" s="14"/>
      <c r="BC380" s="28"/>
    </row>
    <row r="381" spans="1:55" ht="28.8" x14ac:dyDescent="0.4">
      <c r="A381" s="15">
        <v>380</v>
      </c>
      <c r="B381" s="16">
        <v>80546</v>
      </c>
      <c r="C381" s="17" t="s">
        <v>580</v>
      </c>
      <c r="D381" s="16" t="s">
        <v>221</v>
      </c>
      <c r="E381" s="16" t="s">
        <v>438</v>
      </c>
      <c r="F381" s="16">
        <v>30</v>
      </c>
      <c r="G381" s="16">
        <v>5</v>
      </c>
      <c r="H381" s="18">
        <f t="shared" si="7"/>
        <v>25</v>
      </c>
      <c r="I381" s="19">
        <f t="shared" si="9"/>
        <v>13333.333333333334</v>
      </c>
      <c r="J381" s="16">
        <v>0</v>
      </c>
      <c r="K381" s="20">
        <v>0</v>
      </c>
      <c r="L381" s="21"/>
      <c r="M381" s="21"/>
      <c r="N381" s="16">
        <v>1</v>
      </c>
      <c r="O381" s="16">
        <v>0</v>
      </c>
      <c r="P381" s="16">
        <v>0</v>
      </c>
      <c r="Q381" s="16">
        <v>0</v>
      </c>
      <c r="R381" s="16">
        <v>24</v>
      </c>
      <c r="S381" s="22">
        <v>16000</v>
      </c>
      <c r="T381" s="19">
        <f t="shared" si="10"/>
        <v>0</v>
      </c>
      <c r="U381" s="19">
        <f t="shared" si="11"/>
        <v>2934</v>
      </c>
      <c r="V381" s="22">
        <v>2667</v>
      </c>
      <c r="W381" s="31">
        <v>0</v>
      </c>
      <c r="X381" s="22">
        <v>267</v>
      </c>
      <c r="Y381" s="22">
        <v>0</v>
      </c>
      <c r="Z381" s="22">
        <v>0</v>
      </c>
      <c r="AA381" s="22">
        <v>0</v>
      </c>
      <c r="AB381" s="22">
        <v>0</v>
      </c>
      <c r="AC381" s="22">
        <v>0</v>
      </c>
      <c r="AD381" s="22">
        <v>0</v>
      </c>
      <c r="AE381" s="22">
        <v>0</v>
      </c>
      <c r="AF381" s="22">
        <v>0</v>
      </c>
      <c r="AG381" s="22">
        <v>0</v>
      </c>
      <c r="AH381" s="22">
        <v>0</v>
      </c>
      <c r="AI381" s="22">
        <v>175</v>
      </c>
      <c r="AJ381" s="22">
        <v>0</v>
      </c>
      <c r="AK381" s="22">
        <v>0</v>
      </c>
      <c r="AL381" s="22">
        <v>0</v>
      </c>
      <c r="AM381" s="22">
        <v>0</v>
      </c>
      <c r="AN381" s="22">
        <v>0</v>
      </c>
      <c r="AO381" s="22">
        <v>0</v>
      </c>
      <c r="AP381" s="22">
        <v>0</v>
      </c>
      <c r="AQ381" s="22">
        <v>0</v>
      </c>
      <c r="AR381" s="22">
        <v>0</v>
      </c>
      <c r="AS381" s="22">
        <v>0</v>
      </c>
      <c r="AT381" s="22">
        <v>0</v>
      </c>
      <c r="AU381" s="19">
        <f t="shared" si="12"/>
        <v>175</v>
      </c>
      <c r="AV381" s="22">
        <v>2758.33</v>
      </c>
      <c r="AW381" s="24"/>
      <c r="AX381" s="34"/>
      <c r="AY381" s="15"/>
      <c r="AZ381" s="26"/>
      <c r="BA381" s="27">
        <f t="shared" si="13"/>
        <v>0.33666666666704259</v>
      </c>
      <c r="BB381" s="14"/>
      <c r="BC381" s="28"/>
    </row>
    <row r="382" spans="1:55" ht="28.8" x14ac:dyDescent="0.4">
      <c r="A382" s="15">
        <v>381</v>
      </c>
      <c r="B382" s="16">
        <v>80548</v>
      </c>
      <c r="C382" s="17" t="s">
        <v>580</v>
      </c>
      <c r="D382" s="16" t="s">
        <v>221</v>
      </c>
      <c r="E382" s="16" t="s">
        <v>590</v>
      </c>
      <c r="F382" s="16">
        <v>30</v>
      </c>
      <c r="G382" s="16">
        <v>30</v>
      </c>
      <c r="H382" s="18">
        <f t="shared" si="7"/>
        <v>0</v>
      </c>
      <c r="I382" s="19">
        <f t="shared" si="9"/>
        <v>0</v>
      </c>
      <c r="J382" s="16">
        <v>0</v>
      </c>
      <c r="K382" s="20">
        <v>0</v>
      </c>
      <c r="L382" s="21"/>
      <c r="M382" s="21"/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22">
        <v>16000</v>
      </c>
      <c r="T382" s="19">
        <f t="shared" si="10"/>
        <v>0</v>
      </c>
      <c r="U382" s="19">
        <f t="shared" si="11"/>
        <v>16000</v>
      </c>
      <c r="V382" s="22">
        <v>16000</v>
      </c>
      <c r="W382" s="31">
        <v>0</v>
      </c>
      <c r="X382" s="22">
        <v>0</v>
      </c>
      <c r="Y382" s="22">
        <v>0</v>
      </c>
      <c r="Z382" s="22">
        <v>0</v>
      </c>
      <c r="AA382" s="22">
        <v>0</v>
      </c>
      <c r="AB382" s="22">
        <v>0</v>
      </c>
      <c r="AC382" s="22">
        <v>0</v>
      </c>
      <c r="AD382" s="22">
        <v>0</v>
      </c>
      <c r="AE382" s="22">
        <v>0</v>
      </c>
      <c r="AF382" s="22">
        <v>0</v>
      </c>
      <c r="AG382" s="22">
        <v>0</v>
      </c>
      <c r="AH382" s="22">
        <v>0</v>
      </c>
      <c r="AI382" s="22">
        <v>1050</v>
      </c>
      <c r="AJ382" s="22">
        <v>0</v>
      </c>
      <c r="AK382" s="22">
        <v>0</v>
      </c>
      <c r="AL382" s="22">
        <v>0</v>
      </c>
      <c r="AM382" s="22">
        <v>0</v>
      </c>
      <c r="AN382" s="22">
        <v>0</v>
      </c>
      <c r="AO382" s="22">
        <v>0</v>
      </c>
      <c r="AP382" s="22">
        <v>0</v>
      </c>
      <c r="AQ382" s="22">
        <v>0</v>
      </c>
      <c r="AR382" s="22">
        <v>0</v>
      </c>
      <c r="AS382" s="22">
        <v>0</v>
      </c>
      <c r="AT382" s="22">
        <v>0</v>
      </c>
      <c r="AU382" s="19">
        <f t="shared" si="12"/>
        <v>1050</v>
      </c>
      <c r="AV382" s="22">
        <f>16000-1050</f>
        <v>14950</v>
      </c>
      <c r="AW382" s="24" t="s">
        <v>54</v>
      </c>
      <c r="AX382" s="25">
        <v>45789</v>
      </c>
      <c r="AY382" s="15"/>
      <c r="AZ382" s="26"/>
      <c r="BA382" s="27">
        <f t="shared" si="13"/>
        <v>1.8189894035458565E-12</v>
      </c>
      <c r="BB382" s="14"/>
      <c r="BC382" s="28"/>
    </row>
    <row r="383" spans="1:55" ht="28.8" x14ac:dyDescent="0.4">
      <c r="A383" s="15">
        <v>382</v>
      </c>
      <c r="B383" s="16">
        <v>33083</v>
      </c>
      <c r="C383" s="17" t="s">
        <v>580</v>
      </c>
      <c r="D383" s="16" t="s">
        <v>221</v>
      </c>
      <c r="E383" s="16" t="s">
        <v>591</v>
      </c>
      <c r="F383" s="16">
        <v>30</v>
      </c>
      <c r="G383" s="16">
        <v>10</v>
      </c>
      <c r="H383" s="18">
        <f t="shared" si="7"/>
        <v>20</v>
      </c>
      <c r="I383" s="19">
        <f t="shared" si="9"/>
        <v>10666.666666666668</v>
      </c>
      <c r="J383" s="16">
        <v>0</v>
      </c>
      <c r="K383" s="20">
        <v>0</v>
      </c>
      <c r="L383" s="21"/>
      <c r="M383" s="21"/>
      <c r="N383" s="16">
        <v>0</v>
      </c>
      <c r="O383" s="16">
        <v>0</v>
      </c>
      <c r="P383" s="16">
        <v>0</v>
      </c>
      <c r="Q383" s="16">
        <v>0</v>
      </c>
      <c r="R383" s="16">
        <v>20</v>
      </c>
      <c r="S383" s="22">
        <v>16000</v>
      </c>
      <c r="T383" s="19">
        <f t="shared" si="10"/>
        <v>0</v>
      </c>
      <c r="U383" s="19">
        <f t="shared" si="11"/>
        <v>5333</v>
      </c>
      <c r="V383" s="22">
        <v>5333</v>
      </c>
      <c r="W383" s="31">
        <v>0</v>
      </c>
      <c r="X383" s="22">
        <v>0</v>
      </c>
      <c r="Y383" s="22">
        <v>0</v>
      </c>
      <c r="Z383" s="22">
        <v>0</v>
      </c>
      <c r="AA383" s="22">
        <v>0</v>
      </c>
      <c r="AB383" s="22">
        <v>0</v>
      </c>
      <c r="AC383" s="22">
        <v>0</v>
      </c>
      <c r="AD383" s="22">
        <v>0</v>
      </c>
      <c r="AE383" s="22">
        <v>0</v>
      </c>
      <c r="AF383" s="22">
        <v>0</v>
      </c>
      <c r="AG383" s="22">
        <v>0</v>
      </c>
      <c r="AH383" s="22">
        <v>0</v>
      </c>
      <c r="AI383" s="22">
        <v>350</v>
      </c>
      <c r="AJ383" s="22">
        <v>0</v>
      </c>
      <c r="AK383" s="22">
        <v>0</v>
      </c>
      <c r="AL383" s="22">
        <v>0</v>
      </c>
      <c r="AM383" s="22">
        <v>0</v>
      </c>
      <c r="AN383" s="22">
        <v>0</v>
      </c>
      <c r="AO383" s="22">
        <v>0</v>
      </c>
      <c r="AP383" s="22">
        <v>0</v>
      </c>
      <c r="AQ383" s="22">
        <v>0</v>
      </c>
      <c r="AR383" s="22">
        <v>0</v>
      </c>
      <c r="AS383" s="22">
        <v>0</v>
      </c>
      <c r="AT383" s="22">
        <v>0</v>
      </c>
      <c r="AU383" s="19">
        <f t="shared" si="12"/>
        <v>350</v>
      </c>
      <c r="AV383" s="22">
        <v>4983.33</v>
      </c>
      <c r="AW383" s="24" t="s">
        <v>54</v>
      </c>
      <c r="AX383" s="25">
        <v>45790</v>
      </c>
      <c r="AY383" s="15"/>
      <c r="AZ383" s="26"/>
      <c r="BA383" s="27">
        <f t="shared" si="13"/>
        <v>3.3333333340124227E-3</v>
      </c>
      <c r="BB383" s="14"/>
      <c r="BC383" s="28"/>
    </row>
    <row r="384" spans="1:55" ht="28.8" x14ac:dyDescent="0.4">
      <c r="A384" s="15">
        <v>383</v>
      </c>
      <c r="B384" s="16">
        <v>80623</v>
      </c>
      <c r="C384" s="17" t="s">
        <v>580</v>
      </c>
      <c r="D384" s="16" t="s">
        <v>223</v>
      </c>
      <c r="E384" s="16" t="s">
        <v>592</v>
      </c>
      <c r="F384" s="16">
        <v>30</v>
      </c>
      <c r="G384" s="16">
        <v>13</v>
      </c>
      <c r="H384" s="18">
        <f t="shared" si="7"/>
        <v>17</v>
      </c>
      <c r="I384" s="19">
        <f t="shared" si="9"/>
        <v>9066.6666666666679</v>
      </c>
      <c r="J384" s="16">
        <v>0</v>
      </c>
      <c r="K384" s="20">
        <v>0</v>
      </c>
      <c r="L384" s="21"/>
      <c r="M384" s="21"/>
      <c r="N384" s="16">
        <v>0</v>
      </c>
      <c r="O384" s="16">
        <v>0</v>
      </c>
      <c r="P384" s="16">
        <v>0</v>
      </c>
      <c r="Q384" s="16">
        <v>0</v>
      </c>
      <c r="R384" s="16">
        <v>17</v>
      </c>
      <c r="S384" s="22">
        <v>16000</v>
      </c>
      <c r="T384" s="19">
        <f t="shared" si="10"/>
        <v>0</v>
      </c>
      <c r="U384" s="19">
        <f t="shared" si="11"/>
        <v>6933</v>
      </c>
      <c r="V384" s="22">
        <v>6933</v>
      </c>
      <c r="W384" s="31">
        <v>0</v>
      </c>
      <c r="X384" s="22">
        <v>0</v>
      </c>
      <c r="Y384" s="22">
        <v>0</v>
      </c>
      <c r="Z384" s="22">
        <v>0</v>
      </c>
      <c r="AA384" s="22">
        <v>0</v>
      </c>
      <c r="AB384" s="22">
        <v>0</v>
      </c>
      <c r="AC384" s="22">
        <v>0</v>
      </c>
      <c r="AD384" s="22">
        <v>0</v>
      </c>
      <c r="AE384" s="22">
        <v>0</v>
      </c>
      <c r="AF384" s="22">
        <v>0</v>
      </c>
      <c r="AG384" s="22">
        <v>0</v>
      </c>
      <c r="AH384" s="22">
        <v>0</v>
      </c>
      <c r="AI384" s="22">
        <v>455</v>
      </c>
      <c r="AJ384" s="22">
        <v>0</v>
      </c>
      <c r="AK384" s="22">
        <v>0</v>
      </c>
      <c r="AL384" s="22">
        <v>0</v>
      </c>
      <c r="AM384" s="22">
        <v>0</v>
      </c>
      <c r="AN384" s="22">
        <v>0</v>
      </c>
      <c r="AO384" s="22">
        <v>0</v>
      </c>
      <c r="AP384" s="22">
        <v>0</v>
      </c>
      <c r="AQ384" s="22">
        <v>0</v>
      </c>
      <c r="AR384" s="22">
        <v>0</v>
      </c>
      <c r="AS384" s="22">
        <v>0</v>
      </c>
      <c r="AT384" s="22">
        <v>0</v>
      </c>
      <c r="AU384" s="19">
        <f t="shared" si="12"/>
        <v>455</v>
      </c>
      <c r="AV384" s="22">
        <v>6478.33</v>
      </c>
      <c r="AW384" s="24"/>
      <c r="AX384" s="34"/>
      <c r="AY384" s="15"/>
      <c r="AZ384" s="26"/>
      <c r="BA384" s="27">
        <f t="shared" si="13"/>
        <v>3.3333333340124227E-3</v>
      </c>
      <c r="BB384" s="14"/>
      <c r="BC384" s="28"/>
    </row>
    <row r="385" spans="1:55" ht="28.8" x14ac:dyDescent="0.4">
      <c r="A385" s="15">
        <v>384</v>
      </c>
      <c r="B385" s="16">
        <v>80646</v>
      </c>
      <c r="C385" s="17" t="s">
        <v>580</v>
      </c>
      <c r="D385" s="16" t="s">
        <v>221</v>
      </c>
      <c r="E385" s="16" t="s">
        <v>593</v>
      </c>
      <c r="F385" s="16">
        <v>30</v>
      </c>
      <c r="G385" s="16">
        <v>6</v>
      </c>
      <c r="H385" s="18">
        <f t="shared" ref="H385:H475" si="15">+F385-G385</f>
        <v>24</v>
      </c>
      <c r="I385" s="19">
        <f t="shared" si="9"/>
        <v>12800</v>
      </c>
      <c r="J385" s="16">
        <v>0</v>
      </c>
      <c r="K385" s="20">
        <v>0</v>
      </c>
      <c r="L385" s="21"/>
      <c r="M385" s="21"/>
      <c r="N385" s="16">
        <v>0</v>
      </c>
      <c r="O385" s="16">
        <v>0</v>
      </c>
      <c r="P385" s="16">
        <v>0</v>
      </c>
      <c r="Q385" s="16">
        <v>0</v>
      </c>
      <c r="R385" s="16">
        <v>24</v>
      </c>
      <c r="S385" s="22">
        <v>16000</v>
      </c>
      <c r="T385" s="19">
        <f t="shared" si="10"/>
        <v>0</v>
      </c>
      <c r="U385" s="19">
        <f t="shared" si="11"/>
        <v>3200</v>
      </c>
      <c r="V385" s="22">
        <v>3200</v>
      </c>
      <c r="W385" s="31">
        <v>0</v>
      </c>
      <c r="X385" s="22">
        <v>0</v>
      </c>
      <c r="Y385" s="22">
        <v>0</v>
      </c>
      <c r="Z385" s="22">
        <v>0</v>
      </c>
      <c r="AA385" s="22">
        <v>0</v>
      </c>
      <c r="AB385" s="22">
        <v>0</v>
      </c>
      <c r="AC385" s="22">
        <v>0</v>
      </c>
      <c r="AD385" s="22">
        <v>0</v>
      </c>
      <c r="AE385" s="22">
        <v>0</v>
      </c>
      <c r="AF385" s="22">
        <v>0</v>
      </c>
      <c r="AG385" s="22">
        <v>0</v>
      </c>
      <c r="AH385" s="22">
        <v>0</v>
      </c>
      <c r="AI385" s="22">
        <v>210</v>
      </c>
      <c r="AJ385" s="22">
        <v>0</v>
      </c>
      <c r="AK385" s="22">
        <v>0</v>
      </c>
      <c r="AL385" s="22">
        <v>0</v>
      </c>
      <c r="AM385" s="22">
        <v>0</v>
      </c>
      <c r="AN385" s="22">
        <v>0</v>
      </c>
      <c r="AO385" s="22">
        <v>0</v>
      </c>
      <c r="AP385" s="22">
        <v>0</v>
      </c>
      <c r="AQ385" s="22">
        <v>0</v>
      </c>
      <c r="AR385" s="22">
        <v>0</v>
      </c>
      <c r="AS385" s="22">
        <v>0</v>
      </c>
      <c r="AT385" s="22">
        <v>0</v>
      </c>
      <c r="AU385" s="19">
        <f t="shared" si="12"/>
        <v>210</v>
      </c>
      <c r="AV385" s="22">
        <v>2990</v>
      </c>
      <c r="AW385" s="24"/>
      <c r="AX385" s="34"/>
      <c r="AY385" s="15"/>
      <c r="AZ385" s="26"/>
      <c r="BA385" s="27">
        <f t="shared" si="13"/>
        <v>0</v>
      </c>
      <c r="BB385" s="14"/>
      <c r="BC385" s="28"/>
    </row>
    <row r="386" spans="1:55" ht="28.8" x14ac:dyDescent="0.4">
      <c r="A386" s="15">
        <v>385</v>
      </c>
      <c r="B386" s="16">
        <v>80698</v>
      </c>
      <c r="C386" s="17" t="s">
        <v>580</v>
      </c>
      <c r="D386" s="16" t="s">
        <v>221</v>
      </c>
      <c r="E386" s="16" t="s">
        <v>594</v>
      </c>
      <c r="F386" s="16">
        <v>30</v>
      </c>
      <c r="G386" s="16">
        <v>30</v>
      </c>
      <c r="H386" s="18">
        <f t="shared" si="15"/>
        <v>0</v>
      </c>
      <c r="I386" s="19">
        <f t="shared" si="9"/>
        <v>0</v>
      </c>
      <c r="J386" s="16">
        <v>0</v>
      </c>
      <c r="K386" s="20">
        <v>0</v>
      </c>
      <c r="L386" s="21"/>
      <c r="M386" s="21"/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22">
        <v>16000</v>
      </c>
      <c r="T386" s="19">
        <f t="shared" si="10"/>
        <v>0</v>
      </c>
      <c r="U386" s="19">
        <f t="shared" si="11"/>
        <v>16000</v>
      </c>
      <c r="V386" s="22">
        <v>16000</v>
      </c>
      <c r="W386" s="31">
        <v>0</v>
      </c>
      <c r="X386" s="22">
        <v>0</v>
      </c>
      <c r="Y386" s="22">
        <v>0</v>
      </c>
      <c r="Z386" s="22">
        <v>0</v>
      </c>
      <c r="AA386" s="22">
        <v>0</v>
      </c>
      <c r="AB386" s="22">
        <v>0</v>
      </c>
      <c r="AC386" s="22">
        <v>0</v>
      </c>
      <c r="AD386" s="22">
        <v>0</v>
      </c>
      <c r="AE386" s="22">
        <v>0</v>
      </c>
      <c r="AF386" s="22">
        <v>4000</v>
      </c>
      <c r="AG386" s="22">
        <v>0</v>
      </c>
      <c r="AH386" s="22">
        <v>0</v>
      </c>
      <c r="AI386" s="22">
        <v>1050</v>
      </c>
      <c r="AJ386" s="22">
        <v>0</v>
      </c>
      <c r="AK386" s="22">
        <v>0</v>
      </c>
      <c r="AL386" s="22">
        <v>0</v>
      </c>
      <c r="AM386" s="22">
        <v>0</v>
      </c>
      <c r="AN386" s="22">
        <v>0</v>
      </c>
      <c r="AO386" s="22">
        <v>0</v>
      </c>
      <c r="AP386" s="22">
        <v>0</v>
      </c>
      <c r="AQ386" s="22">
        <v>0</v>
      </c>
      <c r="AR386" s="22">
        <v>0</v>
      </c>
      <c r="AS386" s="22">
        <v>0</v>
      </c>
      <c r="AT386" s="22">
        <v>0</v>
      </c>
      <c r="AU386" s="19">
        <f t="shared" si="12"/>
        <v>5050</v>
      </c>
      <c r="AV386" s="22">
        <f>12000-1050</f>
        <v>10950</v>
      </c>
      <c r="AW386" s="24" t="s">
        <v>54</v>
      </c>
      <c r="AX386" s="25">
        <v>45789</v>
      </c>
      <c r="AY386" s="15"/>
      <c r="AZ386" s="26"/>
      <c r="BA386" s="27">
        <f t="shared" si="13"/>
        <v>1.8189894035458565E-12</v>
      </c>
      <c r="BB386" s="14"/>
      <c r="BC386" s="28"/>
    </row>
    <row r="387" spans="1:55" ht="28.8" x14ac:dyDescent="0.4">
      <c r="A387" s="15">
        <v>386</v>
      </c>
      <c r="B387" s="16">
        <v>80699</v>
      </c>
      <c r="C387" s="17" t="s">
        <v>580</v>
      </c>
      <c r="D387" s="16" t="s">
        <v>221</v>
      </c>
      <c r="E387" s="16" t="s">
        <v>595</v>
      </c>
      <c r="F387" s="16">
        <v>30</v>
      </c>
      <c r="G387" s="16">
        <v>29</v>
      </c>
      <c r="H387" s="18">
        <f t="shared" si="15"/>
        <v>1</v>
      </c>
      <c r="I387" s="19">
        <f t="shared" si="9"/>
        <v>533.33333333333337</v>
      </c>
      <c r="J387" s="16">
        <v>0</v>
      </c>
      <c r="K387" s="20">
        <v>0</v>
      </c>
      <c r="L387" s="21"/>
      <c r="M387" s="21"/>
      <c r="N387" s="16">
        <v>0</v>
      </c>
      <c r="O387" s="16">
        <v>0</v>
      </c>
      <c r="P387" s="16">
        <v>0</v>
      </c>
      <c r="Q387" s="16">
        <v>0</v>
      </c>
      <c r="R387" s="16">
        <v>1</v>
      </c>
      <c r="S387" s="22">
        <v>16000</v>
      </c>
      <c r="T387" s="19">
        <f t="shared" si="10"/>
        <v>0</v>
      </c>
      <c r="U387" s="19">
        <f t="shared" si="11"/>
        <v>15467</v>
      </c>
      <c r="V387" s="22">
        <v>15467</v>
      </c>
      <c r="W387" s="31">
        <v>0</v>
      </c>
      <c r="X387" s="22">
        <v>0</v>
      </c>
      <c r="Y387" s="22">
        <v>0</v>
      </c>
      <c r="Z387" s="22">
        <v>0</v>
      </c>
      <c r="AA387" s="22">
        <v>0</v>
      </c>
      <c r="AB387" s="22">
        <v>0</v>
      </c>
      <c r="AC387" s="22">
        <v>0</v>
      </c>
      <c r="AD387" s="22">
        <v>0</v>
      </c>
      <c r="AE387" s="22">
        <v>0</v>
      </c>
      <c r="AF387" s="22">
        <v>0</v>
      </c>
      <c r="AG387" s="22">
        <v>0</v>
      </c>
      <c r="AH387" s="22">
        <v>0</v>
      </c>
      <c r="AI387" s="22">
        <v>1015</v>
      </c>
      <c r="AJ387" s="22">
        <v>0</v>
      </c>
      <c r="AK387" s="22">
        <v>0</v>
      </c>
      <c r="AL387" s="22">
        <v>0</v>
      </c>
      <c r="AM387" s="22">
        <v>0</v>
      </c>
      <c r="AN387" s="22">
        <v>0</v>
      </c>
      <c r="AO387" s="22">
        <v>0</v>
      </c>
      <c r="AP387" s="22">
        <v>0</v>
      </c>
      <c r="AQ387" s="22">
        <v>0</v>
      </c>
      <c r="AR387" s="22">
        <v>0</v>
      </c>
      <c r="AS387" s="22">
        <v>0</v>
      </c>
      <c r="AT387" s="22">
        <v>0</v>
      </c>
      <c r="AU387" s="19">
        <f t="shared" si="12"/>
        <v>1015</v>
      </c>
      <c r="AV387" s="22">
        <v>14451.67</v>
      </c>
      <c r="AW387" s="24" t="s">
        <v>54</v>
      </c>
      <c r="AX387" s="25">
        <v>45789</v>
      </c>
      <c r="AY387" s="15"/>
      <c r="AZ387" s="26"/>
      <c r="BA387" s="27">
        <f t="shared" si="13"/>
        <v>-3.3333333321934333E-3</v>
      </c>
      <c r="BB387" s="14"/>
      <c r="BC387" s="28"/>
    </row>
    <row r="388" spans="1:55" ht="42.6" x14ac:dyDescent="0.4">
      <c r="A388" s="15">
        <v>387</v>
      </c>
      <c r="B388" s="16">
        <v>80706</v>
      </c>
      <c r="C388" s="17" t="s">
        <v>580</v>
      </c>
      <c r="D388" s="16" t="s">
        <v>280</v>
      </c>
      <c r="E388" s="16" t="s">
        <v>367</v>
      </c>
      <c r="F388" s="16">
        <v>30</v>
      </c>
      <c r="G388" s="16">
        <v>25</v>
      </c>
      <c r="H388" s="18">
        <f t="shared" si="15"/>
        <v>5</v>
      </c>
      <c r="I388" s="19">
        <f t="shared" si="9"/>
        <v>4166.666666666667</v>
      </c>
      <c r="J388" s="16">
        <v>12</v>
      </c>
      <c r="K388" s="20">
        <v>6</v>
      </c>
      <c r="L388" s="21"/>
      <c r="M388" s="21"/>
      <c r="N388" s="16">
        <v>0</v>
      </c>
      <c r="O388" s="16">
        <v>0</v>
      </c>
      <c r="P388" s="16">
        <v>4</v>
      </c>
      <c r="Q388" s="16">
        <v>1</v>
      </c>
      <c r="R388" s="16">
        <v>0</v>
      </c>
      <c r="S388" s="22">
        <v>25000</v>
      </c>
      <c r="T388" s="19">
        <f t="shared" si="10"/>
        <v>5000</v>
      </c>
      <c r="U388" s="19">
        <f t="shared" si="11"/>
        <v>15833</v>
      </c>
      <c r="V388" s="22">
        <v>10833</v>
      </c>
      <c r="W388" s="31">
        <v>5000</v>
      </c>
      <c r="X388" s="22">
        <v>0</v>
      </c>
      <c r="Y388" s="22">
        <v>0</v>
      </c>
      <c r="Z388" s="22">
        <v>2500</v>
      </c>
      <c r="AA388" s="22">
        <v>0</v>
      </c>
      <c r="AB388" s="22">
        <v>0</v>
      </c>
      <c r="AC388" s="22">
        <v>0</v>
      </c>
      <c r="AD388" s="22">
        <v>0</v>
      </c>
      <c r="AE388" s="22">
        <v>0</v>
      </c>
      <c r="AF388" s="22">
        <v>0</v>
      </c>
      <c r="AG388" s="22">
        <v>0</v>
      </c>
      <c r="AH388" s="22">
        <v>0</v>
      </c>
      <c r="AI388" s="22">
        <v>875</v>
      </c>
      <c r="AJ388" s="22">
        <v>0</v>
      </c>
      <c r="AK388" s="22">
        <v>0</v>
      </c>
      <c r="AL388" s="22">
        <v>0</v>
      </c>
      <c r="AM388" s="22">
        <v>0</v>
      </c>
      <c r="AN388" s="22">
        <v>0</v>
      </c>
      <c r="AO388" s="22">
        <v>0</v>
      </c>
      <c r="AP388" s="22">
        <v>0</v>
      </c>
      <c r="AQ388" s="22">
        <v>0</v>
      </c>
      <c r="AR388" s="22">
        <v>0</v>
      </c>
      <c r="AS388" s="22">
        <v>0</v>
      </c>
      <c r="AT388" s="22">
        <v>0</v>
      </c>
      <c r="AU388" s="19">
        <f t="shared" si="12"/>
        <v>3375</v>
      </c>
      <c r="AV388" s="22">
        <f>12493.33-35</f>
        <v>12458.33</v>
      </c>
      <c r="AW388" s="24" t="s">
        <v>54</v>
      </c>
      <c r="AX388" s="25">
        <v>45790</v>
      </c>
      <c r="AY388" s="15"/>
      <c r="AZ388" s="26"/>
      <c r="BA388" s="27">
        <f t="shared" si="13"/>
        <v>3.3333333358314121E-3</v>
      </c>
      <c r="BB388" s="14"/>
      <c r="BC388" s="28"/>
    </row>
    <row r="389" spans="1:55" ht="21" x14ac:dyDescent="0.4">
      <c r="A389" s="15">
        <v>388</v>
      </c>
      <c r="B389" s="36">
        <v>80541</v>
      </c>
      <c r="C389" s="37" t="s">
        <v>596</v>
      </c>
      <c r="D389" s="36" t="s">
        <v>597</v>
      </c>
      <c r="E389" s="36" t="s">
        <v>598</v>
      </c>
      <c r="F389" s="16">
        <v>30</v>
      </c>
      <c r="G389" s="16">
        <v>30</v>
      </c>
      <c r="H389" s="18">
        <f t="shared" si="15"/>
        <v>0</v>
      </c>
      <c r="I389" s="19">
        <f t="shared" si="9"/>
        <v>0</v>
      </c>
      <c r="J389" s="16">
        <v>0</v>
      </c>
      <c r="K389" s="20">
        <v>0</v>
      </c>
      <c r="L389" s="21"/>
      <c r="M389" s="21"/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22">
        <v>16000</v>
      </c>
      <c r="T389" s="19">
        <f t="shared" si="10"/>
        <v>0</v>
      </c>
      <c r="U389" s="19">
        <f t="shared" si="11"/>
        <v>16000</v>
      </c>
      <c r="V389" s="22">
        <v>16000</v>
      </c>
      <c r="W389" s="31">
        <v>0</v>
      </c>
      <c r="X389" s="22">
        <v>0</v>
      </c>
      <c r="Y389" s="22">
        <v>0</v>
      </c>
      <c r="Z389" s="22">
        <v>0</v>
      </c>
      <c r="AA389" s="22">
        <v>0</v>
      </c>
      <c r="AB389" s="22">
        <v>0</v>
      </c>
      <c r="AC389" s="22">
        <v>0</v>
      </c>
      <c r="AD389" s="22">
        <v>0</v>
      </c>
      <c r="AE389" s="22">
        <v>0</v>
      </c>
      <c r="AF389" s="22">
        <v>2000</v>
      </c>
      <c r="AG389" s="22">
        <v>0</v>
      </c>
      <c r="AH389" s="22">
        <v>0</v>
      </c>
      <c r="AI389" s="22">
        <v>1050</v>
      </c>
      <c r="AJ389" s="22">
        <v>0</v>
      </c>
      <c r="AK389" s="22">
        <v>0</v>
      </c>
      <c r="AL389" s="22">
        <v>0</v>
      </c>
      <c r="AM389" s="22">
        <v>0</v>
      </c>
      <c r="AN389" s="22">
        <v>0</v>
      </c>
      <c r="AO389" s="22">
        <v>0</v>
      </c>
      <c r="AP389" s="22">
        <v>0</v>
      </c>
      <c r="AQ389" s="22">
        <v>0</v>
      </c>
      <c r="AR389" s="22">
        <v>0</v>
      </c>
      <c r="AS389" s="22">
        <v>0</v>
      </c>
      <c r="AT389" s="22">
        <v>0</v>
      </c>
      <c r="AU389" s="19">
        <f t="shared" si="12"/>
        <v>3050</v>
      </c>
      <c r="AV389" s="22">
        <v>12950</v>
      </c>
      <c r="AW389" s="24" t="s">
        <v>54</v>
      </c>
      <c r="AX389" s="34"/>
      <c r="AY389" s="15"/>
      <c r="AZ389" s="26"/>
      <c r="BA389" s="27">
        <f t="shared" si="13"/>
        <v>1.8189894035458565E-12</v>
      </c>
      <c r="BB389" s="14"/>
      <c r="BC389" s="28"/>
    </row>
    <row r="390" spans="1:55" ht="28.8" x14ac:dyDescent="0.4">
      <c r="A390" s="15">
        <v>389</v>
      </c>
      <c r="B390" s="36">
        <v>80617</v>
      </c>
      <c r="C390" s="37" t="s">
        <v>596</v>
      </c>
      <c r="D390" s="36" t="s">
        <v>597</v>
      </c>
      <c r="E390" s="36" t="s">
        <v>599</v>
      </c>
      <c r="F390" s="16">
        <v>30</v>
      </c>
      <c r="G390" s="16">
        <v>29</v>
      </c>
      <c r="H390" s="18">
        <f t="shared" si="15"/>
        <v>1</v>
      </c>
      <c r="I390" s="19">
        <f t="shared" si="9"/>
        <v>533.33333333333337</v>
      </c>
      <c r="J390" s="16">
        <v>0</v>
      </c>
      <c r="K390" s="20">
        <v>0</v>
      </c>
      <c r="L390" s="21"/>
      <c r="M390" s="21"/>
      <c r="N390" s="16">
        <v>0</v>
      </c>
      <c r="O390" s="16">
        <v>0</v>
      </c>
      <c r="P390" s="16">
        <v>1</v>
      </c>
      <c r="Q390" s="16">
        <v>0</v>
      </c>
      <c r="R390" s="16">
        <v>0</v>
      </c>
      <c r="S390" s="22">
        <v>16000</v>
      </c>
      <c r="T390" s="19">
        <f t="shared" si="10"/>
        <v>0</v>
      </c>
      <c r="U390" s="19">
        <f t="shared" si="11"/>
        <v>15467</v>
      </c>
      <c r="V390" s="22">
        <v>15467</v>
      </c>
      <c r="W390" s="31">
        <v>0</v>
      </c>
      <c r="X390" s="22">
        <v>0</v>
      </c>
      <c r="Y390" s="22">
        <v>0</v>
      </c>
      <c r="Z390" s="22">
        <v>0</v>
      </c>
      <c r="AA390" s="22">
        <v>0</v>
      </c>
      <c r="AB390" s="22">
        <v>0</v>
      </c>
      <c r="AC390" s="22">
        <v>0</v>
      </c>
      <c r="AD390" s="22">
        <v>0</v>
      </c>
      <c r="AE390" s="22">
        <v>0</v>
      </c>
      <c r="AF390" s="22">
        <v>2000</v>
      </c>
      <c r="AG390" s="22">
        <v>0</v>
      </c>
      <c r="AH390" s="22">
        <v>0</v>
      </c>
      <c r="AI390" s="22">
        <v>1015</v>
      </c>
      <c r="AJ390" s="22">
        <v>0</v>
      </c>
      <c r="AK390" s="22">
        <v>0</v>
      </c>
      <c r="AL390" s="22">
        <v>0</v>
      </c>
      <c r="AM390" s="22">
        <v>0</v>
      </c>
      <c r="AN390" s="22">
        <v>0</v>
      </c>
      <c r="AO390" s="22">
        <v>0</v>
      </c>
      <c r="AP390" s="22">
        <v>0</v>
      </c>
      <c r="AQ390" s="22">
        <v>0</v>
      </c>
      <c r="AR390" s="22">
        <v>0</v>
      </c>
      <c r="AS390" s="22">
        <v>0</v>
      </c>
      <c r="AT390" s="22">
        <v>0</v>
      </c>
      <c r="AU390" s="19">
        <f t="shared" si="12"/>
        <v>3015</v>
      </c>
      <c r="AV390" s="22">
        <v>12451.67</v>
      </c>
      <c r="AW390" s="24" t="s">
        <v>54</v>
      </c>
      <c r="AX390" s="25">
        <v>45788</v>
      </c>
      <c r="AY390" s="15"/>
      <c r="AZ390" s="26"/>
      <c r="BA390" s="27">
        <f t="shared" si="13"/>
        <v>-3.3333333321934333E-3</v>
      </c>
      <c r="BB390" s="14"/>
      <c r="BC390" s="28"/>
    </row>
    <row r="391" spans="1:55" ht="28.8" x14ac:dyDescent="0.4">
      <c r="A391" s="15">
        <v>390</v>
      </c>
      <c r="B391" s="16">
        <v>29004</v>
      </c>
      <c r="C391" s="17" t="s">
        <v>596</v>
      </c>
      <c r="D391" s="16" t="s">
        <v>238</v>
      </c>
      <c r="E391" s="16" t="s">
        <v>600</v>
      </c>
      <c r="F391" s="16">
        <v>30</v>
      </c>
      <c r="G391" s="16">
        <v>5</v>
      </c>
      <c r="H391" s="18">
        <f t="shared" si="15"/>
        <v>25</v>
      </c>
      <c r="I391" s="19">
        <f t="shared" si="9"/>
        <v>25000</v>
      </c>
      <c r="J391" s="16">
        <v>0</v>
      </c>
      <c r="K391" s="20">
        <v>0</v>
      </c>
      <c r="L391" s="21"/>
      <c r="M391" s="21"/>
      <c r="N391" s="16">
        <v>0</v>
      </c>
      <c r="O391" s="16">
        <v>0</v>
      </c>
      <c r="P391" s="16">
        <v>0</v>
      </c>
      <c r="Q391" s="16">
        <v>0</v>
      </c>
      <c r="R391" s="16">
        <v>25</v>
      </c>
      <c r="S391" s="22">
        <v>30000</v>
      </c>
      <c r="T391" s="19">
        <f t="shared" si="10"/>
        <v>0</v>
      </c>
      <c r="U391" s="19">
        <f t="shared" si="11"/>
        <v>5000</v>
      </c>
      <c r="V391" s="22">
        <v>5000</v>
      </c>
      <c r="W391" s="31">
        <v>0</v>
      </c>
      <c r="X391" s="22">
        <v>0</v>
      </c>
      <c r="Y391" s="22">
        <v>0</v>
      </c>
      <c r="Z391" s="22">
        <v>0</v>
      </c>
      <c r="AA391" s="22">
        <v>0</v>
      </c>
      <c r="AB391" s="22">
        <v>0</v>
      </c>
      <c r="AC391" s="22">
        <v>0</v>
      </c>
      <c r="AD391" s="22">
        <v>0</v>
      </c>
      <c r="AE391" s="22">
        <v>0</v>
      </c>
      <c r="AF391" s="22">
        <v>0</v>
      </c>
      <c r="AG391" s="22">
        <v>0</v>
      </c>
      <c r="AH391" s="22">
        <v>0</v>
      </c>
      <c r="AI391" s="22">
        <v>175</v>
      </c>
      <c r="AJ391" s="22">
        <v>0</v>
      </c>
      <c r="AK391" s="22">
        <v>0</v>
      </c>
      <c r="AL391" s="22">
        <v>0</v>
      </c>
      <c r="AM391" s="22">
        <v>0</v>
      </c>
      <c r="AN391" s="22">
        <v>0</v>
      </c>
      <c r="AO391" s="22">
        <v>0</v>
      </c>
      <c r="AP391" s="22">
        <v>0</v>
      </c>
      <c r="AQ391" s="22">
        <v>0</v>
      </c>
      <c r="AR391" s="22">
        <v>0</v>
      </c>
      <c r="AS391" s="22">
        <v>0</v>
      </c>
      <c r="AT391" s="22">
        <v>0</v>
      </c>
      <c r="AU391" s="19">
        <f t="shared" si="12"/>
        <v>175</v>
      </c>
      <c r="AV391" s="22">
        <f>3600+1225</f>
        <v>4825</v>
      </c>
      <c r="AW391" s="24"/>
      <c r="AX391" s="34"/>
      <c r="AY391" s="15"/>
      <c r="AZ391" s="26"/>
      <c r="BA391" s="27">
        <f t="shared" si="13"/>
        <v>0</v>
      </c>
      <c r="BB391" s="14"/>
      <c r="BC391" s="28"/>
    </row>
    <row r="392" spans="1:55" ht="28.8" x14ac:dyDescent="0.4">
      <c r="A392" s="15">
        <v>391</v>
      </c>
      <c r="B392" s="16">
        <v>80389</v>
      </c>
      <c r="C392" s="17" t="s">
        <v>596</v>
      </c>
      <c r="D392" s="16" t="s">
        <v>597</v>
      </c>
      <c r="E392" s="16" t="s">
        <v>601</v>
      </c>
      <c r="F392" s="16">
        <v>30</v>
      </c>
      <c r="G392" s="16">
        <v>27</v>
      </c>
      <c r="H392" s="18">
        <f t="shared" si="15"/>
        <v>3</v>
      </c>
      <c r="I392" s="19">
        <f t="shared" si="9"/>
        <v>1600</v>
      </c>
      <c r="J392" s="16">
        <v>0</v>
      </c>
      <c r="K392" s="20">
        <v>0</v>
      </c>
      <c r="L392" s="21"/>
      <c r="M392" s="21"/>
      <c r="N392" s="16">
        <v>0</v>
      </c>
      <c r="O392" s="16">
        <v>0</v>
      </c>
      <c r="P392" s="16">
        <v>3</v>
      </c>
      <c r="Q392" s="16">
        <v>0</v>
      </c>
      <c r="R392" s="16">
        <v>0</v>
      </c>
      <c r="S392" s="22">
        <v>16000</v>
      </c>
      <c r="T392" s="19">
        <f t="shared" si="10"/>
        <v>0</v>
      </c>
      <c r="U392" s="19">
        <f t="shared" si="11"/>
        <v>14400</v>
      </c>
      <c r="V392" s="22">
        <v>14400</v>
      </c>
      <c r="W392" s="31">
        <v>0</v>
      </c>
      <c r="X392" s="22">
        <v>0</v>
      </c>
      <c r="Y392" s="22">
        <v>0</v>
      </c>
      <c r="Z392" s="22">
        <v>0</v>
      </c>
      <c r="AA392" s="22">
        <v>0</v>
      </c>
      <c r="AB392" s="22">
        <v>0</v>
      </c>
      <c r="AC392" s="22">
        <v>0</v>
      </c>
      <c r="AD392" s="22">
        <v>0</v>
      </c>
      <c r="AE392" s="22">
        <v>0</v>
      </c>
      <c r="AF392" s="22">
        <v>0</v>
      </c>
      <c r="AG392" s="22">
        <v>0</v>
      </c>
      <c r="AH392" s="22">
        <v>0</v>
      </c>
      <c r="AI392" s="22">
        <v>945</v>
      </c>
      <c r="AJ392" s="22">
        <v>0</v>
      </c>
      <c r="AK392" s="22">
        <v>0</v>
      </c>
      <c r="AL392" s="22">
        <v>0</v>
      </c>
      <c r="AM392" s="22">
        <v>0</v>
      </c>
      <c r="AN392" s="22">
        <v>0</v>
      </c>
      <c r="AO392" s="22">
        <v>0</v>
      </c>
      <c r="AP392" s="22">
        <v>0</v>
      </c>
      <c r="AQ392" s="22">
        <v>0</v>
      </c>
      <c r="AR392" s="22">
        <v>0</v>
      </c>
      <c r="AS392" s="22">
        <v>0</v>
      </c>
      <c r="AT392" s="22">
        <v>0</v>
      </c>
      <c r="AU392" s="19">
        <f t="shared" si="12"/>
        <v>945</v>
      </c>
      <c r="AV392" s="22">
        <v>13455</v>
      </c>
      <c r="AW392" s="24" t="s">
        <v>54</v>
      </c>
      <c r="AX392" s="25">
        <v>45790</v>
      </c>
      <c r="AY392" s="15"/>
      <c r="AZ392" s="26"/>
      <c r="BA392" s="27">
        <f t="shared" si="13"/>
        <v>1.8189894035458565E-12</v>
      </c>
      <c r="BB392" s="14"/>
      <c r="BC392" s="28"/>
    </row>
    <row r="393" spans="1:55" ht="28.8" x14ac:dyDescent="0.4">
      <c r="A393" s="15">
        <v>392</v>
      </c>
      <c r="B393" s="16">
        <v>80444</v>
      </c>
      <c r="C393" s="17" t="s">
        <v>596</v>
      </c>
      <c r="D393" s="16" t="s">
        <v>602</v>
      </c>
      <c r="E393" s="16" t="s">
        <v>603</v>
      </c>
      <c r="F393" s="16">
        <v>30</v>
      </c>
      <c r="G393" s="16">
        <v>16</v>
      </c>
      <c r="H393" s="18">
        <f t="shared" si="15"/>
        <v>14</v>
      </c>
      <c r="I393" s="19">
        <f t="shared" si="9"/>
        <v>7466.666666666667</v>
      </c>
      <c r="J393" s="16">
        <v>0</v>
      </c>
      <c r="K393" s="20">
        <v>0</v>
      </c>
      <c r="L393" s="21"/>
      <c r="M393" s="21"/>
      <c r="N393" s="16">
        <v>0</v>
      </c>
      <c r="O393" s="16">
        <v>0</v>
      </c>
      <c r="P393" s="16">
        <v>0</v>
      </c>
      <c r="Q393" s="16">
        <v>0</v>
      </c>
      <c r="R393" s="16">
        <v>14</v>
      </c>
      <c r="S393" s="22">
        <v>16000</v>
      </c>
      <c r="T393" s="19">
        <f t="shared" si="10"/>
        <v>0</v>
      </c>
      <c r="U393" s="19">
        <f t="shared" si="11"/>
        <v>8533</v>
      </c>
      <c r="V393" s="22">
        <v>8533</v>
      </c>
      <c r="W393" s="31">
        <v>0</v>
      </c>
      <c r="X393" s="22">
        <v>0</v>
      </c>
      <c r="Y393" s="22">
        <v>0</v>
      </c>
      <c r="Z393" s="22">
        <v>0</v>
      </c>
      <c r="AA393" s="22">
        <v>0</v>
      </c>
      <c r="AB393" s="22">
        <v>0</v>
      </c>
      <c r="AC393" s="22">
        <v>0</v>
      </c>
      <c r="AD393" s="22">
        <v>0</v>
      </c>
      <c r="AE393" s="22">
        <v>0</v>
      </c>
      <c r="AF393" s="22">
        <v>0</v>
      </c>
      <c r="AG393" s="22">
        <v>0</v>
      </c>
      <c r="AH393" s="22">
        <v>0</v>
      </c>
      <c r="AI393" s="22">
        <v>560</v>
      </c>
      <c r="AJ393" s="22">
        <v>0</v>
      </c>
      <c r="AK393" s="22">
        <v>0</v>
      </c>
      <c r="AL393" s="22">
        <v>0</v>
      </c>
      <c r="AM393" s="22">
        <v>0</v>
      </c>
      <c r="AN393" s="22">
        <v>0</v>
      </c>
      <c r="AO393" s="22">
        <v>0</v>
      </c>
      <c r="AP393" s="22">
        <v>0</v>
      </c>
      <c r="AQ393" s="22">
        <v>0</v>
      </c>
      <c r="AR393" s="22">
        <v>0</v>
      </c>
      <c r="AS393" s="22">
        <v>0</v>
      </c>
      <c r="AT393" s="22">
        <v>0</v>
      </c>
      <c r="AU393" s="19">
        <f t="shared" si="12"/>
        <v>560</v>
      </c>
      <c r="AV393" s="22">
        <v>7973.33</v>
      </c>
      <c r="AW393" s="24" t="s">
        <v>54</v>
      </c>
      <c r="AX393" s="25">
        <v>45790</v>
      </c>
      <c r="AY393" s="15"/>
      <c r="AZ393" s="26"/>
      <c r="BA393" s="27">
        <f t="shared" si="13"/>
        <v>3.3333333340124227E-3</v>
      </c>
      <c r="BB393" s="14"/>
      <c r="BC393" s="28"/>
    </row>
    <row r="394" spans="1:55" ht="21" x14ac:dyDescent="0.4">
      <c r="A394" s="15">
        <v>393</v>
      </c>
      <c r="B394" s="16">
        <v>80551</v>
      </c>
      <c r="C394" s="17" t="s">
        <v>596</v>
      </c>
      <c r="D394" s="16" t="s">
        <v>221</v>
      </c>
      <c r="E394" s="16" t="s">
        <v>604</v>
      </c>
      <c r="F394" s="16">
        <v>30</v>
      </c>
      <c r="G394" s="16">
        <v>30</v>
      </c>
      <c r="H394" s="18">
        <f t="shared" si="15"/>
        <v>0</v>
      </c>
      <c r="I394" s="19">
        <f t="shared" si="9"/>
        <v>0</v>
      </c>
      <c r="J394" s="16">
        <v>0</v>
      </c>
      <c r="K394" s="20">
        <v>0</v>
      </c>
      <c r="L394" s="21"/>
      <c r="M394" s="21"/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22">
        <v>16000</v>
      </c>
      <c r="T394" s="19">
        <f t="shared" si="10"/>
        <v>0</v>
      </c>
      <c r="U394" s="19">
        <f t="shared" si="11"/>
        <v>16000</v>
      </c>
      <c r="V394" s="22">
        <v>16000</v>
      </c>
      <c r="W394" s="31">
        <v>0</v>
      </c>
      <c r="X394" s="22">
        <v>0</v>
      </c>
      <c r="Y394" s="22">
        <v>0</v>
      </c>
      <c r="Z394" s="22">
        <v>0</v>
      </c>
      <c r="AA394" s="22">
        <v>0</v>
      </c>
      <c r="AB394" s="22">
        <v>0</v>
      </c>
      <c r="AC394" s="22">
        <v>0</v>
      </c>
      <c r="AD394" s="22">
        <v>0</v>
      </c>
      <c r="AE394" s="22">
        <v>0</v>
      </c>
      <c r="AF394" s="22">
        <v>2000</v>
      </c>
      <c r="AG394" s="22">
        <v>0</v>
      </c>
      <c r="AH394" s="22">
        <v>0</v>
      </c>
      <c r="AI394" s="22">
        <v>1050</v>
      </c>
      <c r="AJ394" s="22">
        <v>0</v>
      </c>
      <c r="AK394" s="22">
        <v>0</v>
      </c>
      <c r="AL394" s="22">
        <v>0</v>
      </c>
      <c r="AM394" s="22">
        <v>0</v>
      </c>
      <c r="AN394" s="22">
        <v>0</v>
      </c>
      <c r="AO394" s="22">
        <v>0</v>
      </c>
      <c r="AP394" s="22">
        <v>0</v>
      </c>
      <c r="AQ394" s="22">
        <v>0</v>
      </c>
      <c r="AR394" s="22">
        <v>0</v>
      </c>
      <c r="AS394" s="22">
        <v>0</v>
      </c>
      <c r="AT394" s="22">
        <v>0</v>
      </c>
      <c r="AU394" s="19">
        <f t="shared" si="12"/>
        <v>3050</v>
      </c>
      <c r="AV394" s="22">
        <v>12950</v>
      </c>
      <c r="AW394" s="24" t="s">
        <v>54</v>
      </c>
      <c r="AX394" s="25">
        <v>45790</v>
      </c>
      <c r="AY394" s="15"/>
      <c r="AZ394" s="26"/>
      <c r="BA394" s="27">
        <f t="shared" si="13"/>
        <v>1.8189894035458565E-12</v>
      </c>
      <c r="BB394" s="14"/>
      <c r="BC394" s="28"/>
    </row>
    <row r="395" spans="1:55" ht="28.8" x14ac:dyDescent="0.4">
      <c r="A395" s="15">
        <v>394</v>
      </c>
      <c r="B395" s="16">
        <v>80566</v>
      </c>
      <c r="C395" s="17" t="s">
        <v>596</v>
      </c>
      <c r="D395" s="16" t="s">
        <v>221</v>
      </c>
      <c r="E395" s="16" t="s">
        <v>605</v>
      </c>
      <c r="F395" s="16">
        <v>30</v>
      </c>
      <c r="G395" s="16">
        <v>29</v>
      </c>
      <c r="H395" s="18">
        <f t="shared" si="15"/>
        <v>1</v>
      </c>
      <c r="I395" s="19">
        <f t="shared" si="9"/>
        <v>533.33333333333337</v>
      </c>
      <c r="J395" s="16">
        <v>0</v>
      </c>
      <c r="K395" s="20">
        <v>0</v>
      </c>
      <c r="L395" s="21"/>
      <c r="M395" s="21"/>
      <c r="N395" s="16">
        <v>1</v>
      </c>
      <c r="O395" s="16">
        <v>0</v>
      </c>
      <c r="P395" s="16">
        <v>0</v>
      </c>
      <c r="Q395" s="16">
        <v>0</v>
      </c>
      <c r="R395" s="16">
        <v>0</v>
      </c>
      <c r="S395" s="22">
        <v>16000</v>
      </c>
      <c r="T395" s="19">
        <f t="shared" si="10"/>
        <v>0</v>
      </c>
      <c r="U395" s="19">
        <f t="shared" si="11"/>
        <v>15734</v>
      </c>
      <c r="V395" s="22">
        <v>15467</v>
      </c>
      <c r="W395" s="31">
        <v>0</v>
      </c>
      <c r="X395" s="22">
        <v>267</v>
      </c>
      <c r="Y395" s="22">
        <v>0</v>
      </c>
      <c r="Z395" s="22">
        <v>0</v>
      </c>
      <c r="AA395" s="22">
        <v>0</v>
      </c>
      <c r="AB395" s="22">
        <v>0</v>
      </c>
      <c r="AC395" s="22">
        <v>0</v>
      </c>
      <c r="AD395" s="22">
        <v>0</v>
      </c>
      <c r="AE395" s="22">
        <v>0</v>
      </c>
      <c r="AF395" s="22">
        <v>0</v>
      </c>
      <c r="AG395" s="22">
        <v>0</v>
      </c>
      <c r="AH395" s="22">
        <v>0</v>
      </c>
      <c r="AI395" s="22">
        <v>1015</v>
      </c>
      <c r="AJ395" s="22">
        <v>0</v>
      </c>
      <c r="AK395" s="22">
        <v>0</v>
      </c>
      <c r="AL395" s="22">
        <v>0</v>
      </c>
      <c r="AM395" s="22">
        <v>0</v>
      </c>
      <c r="AN395" s="22">
        <v>0</v>
      </c>
      <c r="AO395" s="22">
        <v>0</v>
      </c>
      <c r="AP395" s="22">
        <v>0</v>
      </c>
      <c r="AQ395" s="22">
        <v>0</v>
      </c>
      <c r="AR395" s="22">
        <v>0</v>
      </c>
      <c r="AS395" s="22">
        <v>0</v>
      </c>
      <c r="AT395" s="22">
        <v>0</v>
      </c>
      <c r="AU395" s="19">
        <f t="shared" si="12"/>
        <v>1015</v>
      </c>
      <c r="AV395" s="22">
        <v>14718.33</v>
      </c>
      <c r="AW395" s="24" t="s">
        <v>54</v>
      </c>
      <c r="AX395" s="25">
        <v>45789</v>
      </c>
      <c r="AY395" s="15"/>
      <c r="AZ395" s="26"/>
      <c r="BA395" s="27">
        <f t="shared" si="13"/>
        <v>0.33666666666795209</v>
      </c>
      <c r="BB395" s="14"/>
      <c r="BC395" s="28"/>
    </row>
    <row r="396" spans="1:55" ht="28.8" x14ac:dyDescent="0.4">
      <c r="A396" s="15">
        <v>395</v>
      </c>
      <c r="B396" s="16">
        <v>80679</v>
      </c>
      <c r="C396" s="17" t="s">
        <v>596</v>
      </c>
      <c r="D396" s="16" t="s">
        <v>221</v>
      </c>
      <c r="E396" s="16" t="s">
        <v>606</v>
      </c>
      <c r="F396" s="16">
        <v>30</v>
      </c>
      <c r="G396" s="16">
        <v>9</v>
      </c>
      <c r="H396" s="18">
        <f t="shared" si="15"/>
        <v>21</v>
      </c>
      <c r="I396" s="19">
        <f t="shared" si="9"/>
        <v>11200</v>
      </c>
      <c r="J396" s="16">
        <v>0</v>
      </c>
      <c r="K396" s="20">
        <v>0</v>
      </c>
      <c r="L396" s="21"/>
      <c r="M396" s="21"/>
      <c r="N396" s="16">
        <v>0</v>
      </c>
      <c r="O396" s="16">
        <v>0</v>
      </c>
      <c r="P396" s="16">
        <v>0</v>
      </c>
      <c r="Q396" s="16">
        <v>0</v>
      </c>
      <c r="R396" s="16">
        <v>21</v>
      </c>
      <c r="S396" s="22">
        <v>16000</v>
      </c>
      <c r="T396" s="19">
        <f t="shared" si="10"/>
        <v>0</v>
      </c>
      <c r="U396" s="19">
        <f t="shared" si="11"/>
        <v>4800</v>
      </c>
      <c r="V396" s="22">
        <v>4800</v>
      </c>
      <c r="W396" s="31">
        <v>0</v>
      </c>
      <c r="X396" s="22">
        <v>0</v>
      </c>
      <c r="Y396" s="22">
        <v>0</v>
      </c>
      <c r="Z396" s="22">
        <v>0</v>
      </c>
      <c r="AA396" s="22">
        <v>0</v>
      </c>
      <c r="AB396" s="22">
        <v>0</v>
      </c>
      <c r="AC396" s="22">
        <v>1048</v>
      </c>
      <c r="AD396" s="22">
        <v>0</v>
      </c>
      <c r="AE396" s="22">
        <v>0</v>
      </c>
      <c r="AF396" s="22">
        <v>0</v>
      </c>
      <c r="AG396" s="22">
        <v>0</v>
      </c>
      <c r="AH396" s="22">
        <v>0</v>
      </c>
      <c r="AI396" s="22">
        <v>315</v>
      </c>
      <c r="AJ396" s="22">
        <v>0</v>
      </c>
      <c r="AK396" s="22">
        <v>0</v>
      </c>
      <c r="AL396" s="22">
        <v>0</v>
      </c>
      <c r="AM396" s="22">
        <v>0</v>
      </c>
      <c r="AN396" s="22">
        <v>0</v>
      </c>
      <c r="AO396" s="22">
        <v>0</v>
      </c>
      <c r="AP396" s="22">
        <v>0</v>
      </c>
      <c r="AQ396" s="22">
        <v>0</v>
      </c>
      <c r="AR396" s="22">
        <v>0</v>
      </c>
      <c r="AS396" s="22">
        <v>0</v>
      </c>
      <c r="AT396" s="22">
        <v>0</v>
      </c>
      <c r="AU396" s="19">
        <f t="shared" si="12"/>
        <v>1363</v>
      </c>
      <c r="AV396" s="22">
        <f>3367+70</f>
        <v>3437</v>
      </c>
      <c r="AW396" s="24"/>
      <c r="AX396" s="34"/>
      <c r="AY396" s="15"/>
      <c r="AZ396" s="26"/>
      <c r="BA396" s="27">
        <f t="shared" si="13"/>
        <v>0</v>
      </c>
      <c r="BB396" s="14"/>
      <c r="BC396" s="28"/>
    </row>
    <row r="397" spans="1:55" ht="28.8" x14ac:dyDescent="0.4">
      <c r="A397" s="15">
        <v>396</v>
      </c>
      <c r="B397" s="16">
        <v>80707</v>
      </c>
      <c r="C397" s="17" t="s">
        <v>596</v>
      </c>
      <c r="D397" s="16" t="s">
        <v>221</v>
      </c>
      <c r="E397" s="16" t="s">
        <v>607</v>
      </c>
      <c r="F397" s="16">
        <v>30</v>
      </c>
      <c r="G397" s="16">
        <v>8</v>
      </c>
      <c r="H397" s="18">
        <f t="shared" si="15"/>
        <v>22</v>
      </c>
      <c r="I397" s="19">
        <f t="shared" si="9"/>
        <v>16133.333333333334</v>
      </c>
      <c r="J397" s="16">
        <v>0</v>
      </c>
      <c r="K397" s="20">
        <v>0</v>
      </c>
      <c r="L397" s="21"/>
      <c r="M397" s="21"/>
      <c r="N397" s="16">
        <v>0</v>
      </c>
      <c r="O397" s="16">
        <v>0</v>
      </c>
      <c r="P397" s="16">
        <v>0</v>
      </c>
      <c r="Q397" s="16">
        <v>0</v>
      </c>
      <c r="R397" s="16">
        <v>22</v>
      </c>
      <c r="S397" s="22">
        <v>22000</v>
      </c>
      <c r="T397" s="19">
        <f t="shared" si="10"/>
        <v>0</v>
      </c>
      <c r="U397" s="19">
        <f t="shared" si="11"/>
        <v>5867</v>
      </c>
      <c r="V397" s="22">
        <v>5867</v>
      </c>
      <c r="W397" s="31">
        <v>0</v>
      </c>
      <c r="X397" s="22">
        <v>0</v>
      </c>
      <c r="Y397" s="22">
        <v>0</v>
      </c>
      <c r="Z397" s="22">
        <v>0</v>
      </c>
      <c r="AA397" s="22">
        <v>0</v>
      </c>
      <c r="AB397" s="22">
        <v>0</v>
      </c>
      <c r="AC397" s="22">
        <v>0</v>
      </c>
      <c r="AD397" s="22">
        <v>0</v>
      </c>
      <c r="AE397" s="22">
        <v>0</v>
      </c>
      <c r="AF397" s="22">
        <v>0</v>
      </c>
      <c r="AG397" s="22">
        <v>0</v>
      </c>
      <c r="AH397" s="22">
        <v>0</v>
      </c>
      <c r="AI397" s="22">
        <v>280</v>
      </c>
      <c r="AJ397" s="22">
        <v>5466</v>
      </c>
      <c r="AK397" s="22">
        <v>0</v>
      </c>
      <c r="AL397" s="22">
        <v>0</v>
      </c>
      <c r="AM397" s="22">
        <v>0</v>
      </c>
      <c r="AN397" s="22">
        <v>0</v>
      </c>
      <c r="AO397" s="22">
        <v>0</v>
      </c>
      <c r="AP397" s="22">
        <v>0</v>
      </c>
      <c r="AQ397" s="22">
        <v>0</v>
      </c>
      <c r="AR397" s="22">
        <v>0</v>
      </c>
      <c r="AS397" s="22">
        <v>0</v>
      </c>
      <c r="AT397" s="22">
        <v>0</v>
      </c>
      <c r="AU397" s="19">
        <f t="shared" si="12"/>
        <v>5746</v>
      </c>
      <c r="AV397" s="22">
        <f>5586.67-5466</f>
        <v>120.67000000000007</v>
      </c>
      <c r="AW397" s="24"/>
      <c r="AX397" s="34"/>
      <c r="AY397" s="15"/>
      <c r="AZ397" s="26"/>
      <c r="BA397" s="27">
        <f t="shared" si="13"/>
        <v>-3.333333333102928E-3</v>
      </c>
      <c r="BB397" s="14"/>
      <c r="BC397" s="28"/>
    </row>
    <row r="398" spans="1:55" ht="28.8" x14ac:dyDescent="0.4">
      <c r="A398" s="15">
        <v>397</v>
      </c>
      <c r="B398" s="16">
        <v>80708</v>
      </c>
      <c r="C398" s="17" t="s">
        <v>596</v>
      </c>
      <c r="D398" s="16" t="s">
        <v>419</v>
      </c>
      <c r="E398" s="16" t="s">
        <v>608</v>
      </c>
      <c r="F398" s="16">
        <v>30</v>
      </c>
      <c r="G398" s="16">
        <v>27</v>
      </c>
      <c r="H398" s="18">
        <f t="shared" si="15"/>
        <v>3</v>
      </c>
      <c r="I398" s="19">
        <f t="shared" si="9"/>
        <v>2500</v>
      </c>
      <c r="J398" s="16">
        <v>0</v>
      </c>
      <c r="K398" s="20">
        <v>0</v>
      </c>
      <c r="L398" s="21"/>
      <c r="M398" s="21"/>
      <c r="N398" s="16">
        <v>0</v>
      </c>
      <c r="O398" s="16">
        <v>0</v>
      </c>
      <c r="P398" s="16">
        <v>0</v>
      </c>
      <c r="Q398" s="16">
        <v>1</v>
      </c>
      <c r="R398" s="16">
        <v>2</v>
      </c>
      <c r="S398" s="32">
        <v>25000</v>
      </c>
      <c r="T398" s="19">
        <f t="shared" si="10"/>
        <v>0</v>
      </c>
      <c r="U398" s="19">
        <f t="shared" si="11"/>
        <v>22500</v>
      </c>
      <c r="V398" s="22">
        <v>22500</v>
      </c>
      <c r="W398" s="31">
        <v>0</v>
      </c>
      <c r="X398" s="22">
        <v>0</v>
      </c>
      <c r="Y398" s="22">
        <v>0</v>
      </c>
      <c r="Z398" s="22">
        <v>2500</v>
      </c>
      <c r="AA398" s="22">
        <v>0</v>
      </c>
      <c r="AB398" s="22">
        <v>0</v>
      </c>
      <c r="AC398" s="22">
        <v>0</v>
      </c>
      <c r="AD398" s="22">
        <v>0</v>
      </c>
      <c r="AE398" s="22">
        <v>0</v>
      </c>
      <c r="AF398" s="22">
        <v>3000</v>
      </c>
      <c r="AG398" s="22">
        <v>0</v>
      </c>
      <c r="AH398" s="22">
        <v>0</v>
      </c>
      <c r="AI398" s="22">
        <v>945</v>
      </c>
      <c r="AJ398" s="22">
        <v>0</v>
      </c>
      <c r="AK398" s="22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0</v>
      </c>
      <c r="AU398" s="19">
        <f t="shared" si="12"/>
        <v>6445</v>
      </c>
      <c r="AV398" s="22">
        <f>15110+945</f>
        <v>16055</v>
      </c>
      <c r="AW398" s="24" t="s">
        <v>54</v>
      </c>
      <c r="AX398" s="25">
        <v>45789</v>
      </c>
      <c r="AY398" s="15"/>
      <c r="AZ398" s="26"/>
      <c r="BA398" s="27">
        <f t="shared" si="13"/>
        <v>0</v>
      </c>
      <c r="BB398" s="14"/>
      <c r="BC398" s="28"/>
    </row>
    <row r="399" spans="1:55" ht="42.6" x14ac:dyDescent="0.4">
      <c r="A399" s="15">
        <v>398</v>
      </c>
      <c r="B399" s="16">
        <v>80710</v>
      </c>
      <c r="C399" s="17" t="s">
        <v>596</v>
      </c>
      <c r="D399" s="16" t="s">
        <v>419</v>
      </c>
      <c r="E399" s="16" t="s">
        <v>421</v>
      </c>
      <c r="F399" s="16">
        <v>30</v>
      </c>
      <c r="G399" s="16">
        <v>29</v>
      </c>
      <c r="H399" s="18">
        <f t="shared" si="15"/>
        <v>1</v>
      </c>
      <c r="I399" s="19">
        <f t="shared" si="9"/>
        <v>833.33333333333337</v>
      </c>
      <c r="J399" s="16">
        <v>0</v>
      </c>
      <c r="K399" s="20">
        <v>0</v>
      </c>
      <c r="L399" s="21"/>
      <c r="M399" s="21"/>
      <c r="N399" s="16">
        <v>0</v>
      </c>
      <c r="O399" s="16">
        <v>0</v>
      </c>
      <c r="P399" s="16">
        <v>0</v>
      </c>
      <c r="Q399" s="16">
        <v>0</v>
      </c>
      <c r="R399" s="16">
        <v>1</v>
      </c>
      <c r="S399" s="22">
        <v>25000</v>
      </c>
      <c r="T399" s="19">
        <f t="shared" si="10"/>
        <v>0</v>
      </c>
      <c r="U399" s="19">
        <f t="shared" si="11"/>
        <v>24167</v>
      </c>
      <c r="V399" s="22">
        <v>24167</v>
      </c>
      <c r="W399" s="31">
        <v>0</v>
      </c>
      <c r="X399" s="22">
        <v>0</v>
      </c>
      <c r="Y399" s="22">
        <v>0</v>
      </c>
      <c r="Z399" s="22">
        <v>0</v>
      </c>
      <c r="AA399" s="22">
        <v>0</v>
      </c>
      <c r="AB399" s="22">
        <v>0</v>
      </c>
      <c r="AC399" s="22">
        <v>0</v>
      </c>
      <c r="AD399" s="22">
        <v>0</v>
      </c>
      <c r="AE399" s="22">
        <v>0</v>
      </c>
      <c r="AF399" s="22">
        <v>0</v>
      </c>
      <c r="AG399" s="22">
        <v>0</v>
      </c>
      <c r="AH399" s="22">
        <v>0</v>
      </c>
      <c r="AI399" s="22">
        <v>1015</v>
      </c>
      <c r="AJ399" s="22">
        <v>0</v>
      </c>
      <c r="AK399" s="22">
        <v>0</v>
      </c>
      <c r="AL399" s="22">
        <v>0</v>
      </c>
      <c r="AM399" s="22">
        <v>0</v>
      </c>
      <c r="AN399" s="22">
        <v>0</v>
      </c>
      <c r="AO399" s="22">
        <v>0</v>
      </c>
      <c r="AP399" s="22">
        <v>0</v>
      </c>
      <c r="AQ399" s="22">
        <v>0</v>
      </c>
      <c r="AR399" s="22">
        <v>0</v>
      </c>
      <c r="AS399" s="22">
        <v>0</v>
      </c>
      <c r="AT399" s="22">
        <v>0</v>
      </c>
      <c r="AU399" s="19">
        <f t="shared" si="12"/>
        <v>1015</v>
      </c>
      <c r="AV399" s="22">
        <v>23151.67</v>
      </c>
      <c r="AW399" s="24" t="s">
        <v>54</v>
      </c>
      <c r="AX399" s="25">
        <v>45790</v>
      </c>
      <c r="AY399" s="15"/>
      <c r="AZ399" s="26"/>
      <c r="BA399" s="27">
        <f t="shared" si="13"/>
        <v>-3.3333333303744439E-3</v>
      </c>
      <c r="BB399" s="14"/>
      <c r="BC399" s="28"/>
    </row>
    <row r="400" spans="1:55" ht="42.6" x14ac:dyDescent="0.4">
      <c r="A400" s="15">
        <v>399</v>
      </c>
      <c r="B400" s="16">
        <v>80732</v>
      </c>
      <c r="C400" s="17" t="s">
        <v>596</v>
      </c>
      <c r="D400" s="16" t="s">
        <v>419</v>
      </c>
      <c r="E400" s="16" t="s">
        <v>609</v>
      </c>
      <c r="F400" s="16">
        <v>30</v>
      </c>
      <c r="G400" s="16">
        <v>30</v>
      </c>
      <c r="H400" s="18">
        <f t="shared" si="15"/>
        <v>0</v>
      </c>
      <c r="I400" s="19">
        <f t="shared" si="9"/>
        <v>0</v>
      </c>
      <c r="J400" s="16">
        <v>1</v>
      </c>
      <c r="K400" s="20">
        <v>0</v>
      </c>
      <c r="L400" s="21"/>
      <c r="M400" s="21"/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>
        <v>25000</v>
      </c>
      <c r="T400" s="19">
        <f t="shared" si="10"/>
        <v>0</v>
      </c>
      <c r="U400" s="19">
        <f t="shared" si="11"/>
        <v>25000</v>
      </c>
      <c r="V400" s="22">
        <v>24167</v>
      </c>
      <c r="W400" s="31">
        <v>833</v>
      </c>
      <c r="X400" s="22">
        <v>0</v>
      </c>
      <c r="Y400" s="22">
        <v>0</v>
      </c>
      <c r="Z400" s="22">
        <v>0</v>
      </c>
      <c r="AA400" s="22">
        <v>0</v>
      </c>
      <c r="AB400" s="22">
        <v>0</v>
      </c>
      <c r="AC400" s="22">
        <v>0</v>
      </c>
      <c r="AD400" s="22">
        <v>0</v>
      </c>
      <c r="AE400" s="22">
        <v>0</v>
      </c>
      <c r="AF400" s="22">
        <v>0</v>
      </c>
      <c r="AG400" s="22">
        <v>0</v>
      </c>
      <c r="AH400" s="22">
        <v>0</v>
      </c>
      <c r="AI400" s="22">
        <v>1050</v>
      </c>
      <c r="AJ400" s="22">
        <v>0</v>
      </c>
      <c r="AK400" s="22">
        <v>0</v>
      </c>
      <c r="AL400" s="22">
        <v>0</v>
      </c>
      <c r="AM400" s="22">
        <v>0</v>
      </c>
      <c r="AN400" s="22">
        <v>0</v>
      </c>
      <c r="AO400" s="22">
        <v>0</v>
      </c>
      <c r="AP400" s="22">
        <v>0</v>
      </c>
      <c r="AQ400" s="22">
        <v>0</v>
      </c>
      <c r="AR400" s="22">
        <v>0</v>
      </c>
      <c r="AS400" s="22">
        <v>0</v>
      </c>
      <c r="AT400" s="22">
        <v>0</v>
      </c>
      <c r="AU400" s="19">
        <f t="shared" si="12"/>
        <v>1050</v>
      </c>
      <c r="AV400" s="22">
        <v>23950</v>
      </c>
      <c r="AW400" s="24" t="s">
        <v>54</v>
      </c>
      <c r="AX400" s="25">
        <v>45789</v>
      </c>
      <c r="AY400" s="15"/>
      <c r="AZ400" s="26"/>
      <c r="BA400" s="27">
        <f t="shared" si="13"/>
        <v>0</v>
      </c>
      <c r="BB400" s="14"/>
      <c r="BC400" s="28"/>
    </row>
    <row r="401" spans="1:55" ht="28.8" x14ac:dyDescent="0.4">
      <c r="A401" s="15">
        <v>400</v>
      </c>
      <c r="B401" s="16">
        <v>80747</v>
      </c>
      <c r="C401" s="17" t="s">
        <v>596</v>
      </c>
      <c r="D401" s="16" t="s">
        <v>221</v>
      </c>
      <c r="E401" s="16" t="s">
        <v>610</v>
      </c>
      <c r="F401" s="16">
        <v>30</v>
      </c>
      <c r="G401" s="16">
        <v>30</v>
      </c>
      <c r="H401" s="18">
        <f t="shared" si="15"/>
        <v>0</v>
      </c>
      <c r="I401" s="19">
        <f t="shared" si="9"/>
        <v>0</v>
      </c>
      <c r="J401" s="16">
        <v>0</v>
      </c>
      <c r="K401" s="20">
        <v>0</v>
      </c>
      <c r="L401" s="21"/>
      <c r="M401" s="21"/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>
        <v>16000</v>
      </c>
      <c r="T401" s="19">
        <f t="shared" si="10"/>
        <v>0</v>
      </c>
      <c r="U401" s="19">
        <f t="shared" si="11"/>
        <v>16000</v>
      </c>
      <c r="V401" s="22">
        <v>16000</v>
      </c>
      <c r="W401" s="31">
        <v>0</v>
      </c>
      <c r="X401" s="22">
        <v>0</v>
      </c>
      <c r="Y401" s="22">
        <v>0</v>
      </c>
      <c r="Z401" s="22">
        <v>0</v>
      </c>
      <c r="AA401" s="22">
        <v>0</v>
      </c>
      <c r="AB401" s="22">
        <v>0</v>
      </c>
      <c r="AC401" s="22">
        <v>0</v>
      </c>
      <c r="AD401" s="22">
        <v>0</v>
      </c>
      <c r="AE401" s="22">
        <v>0</v>
      </c>
      <c r="AF401" s="22">
        <v>0</v>
      </c>
      <c r="AG401" s="22">
        <v>0</v>
      </c>
      <c r="AH401" s="22">
        <v>0</v>
      </c>
      <c r="AI401" s="22">
        <v>1050</v>
      </c>
      <c r="AJ401" s="22">
        <v>0</v>
      </c>
      <c r="AK401" s="22">
        <v>0</v>
      </c>
      <c r="AL401" s="22">
        <v>0</v>
      </c>
      <c r="AM401" s="22">
        <v>0</v>
      </c>
      <c r="AN401" s="22">
        <v>0</v>
      </c>
      <c r="AO401" s="22">
        <v>0</v>
      </c>
      <c r="AP401" s="22">
        <v>0</v>
      </c>
      <c r="AQ401" s="22">
        <v>0</v>
      </c>
      <c r="AR401" s="22">
        <v>0</v>
      </c>
      <c r="AS401" s="22">
        <v>0</v>
      </c>
      <c r="AT401" s="22">
        <v>0</v>
      </c>
      <c r="AU401" s="19">
        <f t="shared" si="12"/>
        <v>1050</v>
      </c>
      <c r="AV401" s="22">
        <v>14950</v>
      </c>
      <c r="AW401" s="24" t="s">
        <v>54</v>
      </c>
      <c r="AX401" s="25">
        <v>45789</v>
      </c>
      <c r="AY401" s="15"/>
      <c r="AZ401" s="26"/>
      <c r="BA401" s="27">
        <f t="shared" si="13"/>
        <v>1.8189894035458565E-12</v>
      </c>
      <c r="BB401" s="14"/>
      <c r="BC401" s="28"/>
    </row>
    <row r="402" spans="1:55" ht="28.8" x14ac:dyDescent="0.4">
      <c r="A402" s="15">
        <v>401</v>
      </c>
      <c r="B402" s="16">
        <v>80771</v>
      </c>
      <c r="C402" s="17" t="s">
        <v>596</v>
      </c>
      <c r="D402" s="16" t="s">
        <v>221</v>
      </c>
      <c r="E402" s="16" t="s">
        <v>611</v>
      </c>
      <c r="F402" s="16">
        <v>30</v>
      </c>
      <c r="G402" s="16">
        <v>15</v>
      </c>
      <c r="H402" s="18">
        <f t="shared" si="15"/>
        <v>15</v>
      </c>
      <c r="I402" s="19">
        <f t="shared" si="9"/>
        <v>8000.0000000000009</v>
      </c>
      <c r="J402" s="16">
        <v>0</v>
      </c>
      <c r="K402" s="20">
        <v>0</v>
      </c>
      <c r="L402" s="21"/>
      <c r="M402" s="21"/>
      <c r="N402" s="16">
        <v>0</v>
      </c>
      <c r="O402" s="16">
        <v>0</v>
      </c>
      <c r="P402" s="16">
        <v>0</v>
      </c>
      <c r="Q402" s="16">
        <v>0</v>
      </c>
      <c r="R402" s="16">
        <v>15</v>
      </c>
      <c r="S402" s="22">
        <v>16000</v>
      </c>
      <c r="T402" s="19">
        <f t="shared" si="10"/>
        <v>0</v>
      </c>
      <c r="U402" s="19">
        <f t="shared" si="11"/>
        <v>8000</v>
      </c>
      <c r="V402" s="22">
        <v>8000</v>
      </c>
      <c r="W402" s="31">
        <v>0</v>
      </c>
      <c r="X402" s="22">
        <v>0</v>
      </c>
      <c r="Y402" s="22">
        <v>0</v>
      </c>
      <c r="Z402" s="22">
        <v>0</v>
      </c>
      <c r="AA402" s="22">
        <v>0</v>
      </c>
      <c r="AB402" s="22">
        <v>0</v>
      </c>
      <c r="AC402" s="22">
        <v>0</v>
      </c>
      <c r="AD402" s="22">
        <v>0</v>
      </c>
      <c r="AE402" s="22">
        <v>0</v>
      </c>
      <c r="AF402" s="22">
        <v>0</v>
      </c>
      <c r="AG402" s="22">
        <v>0</v>
      </c>
      <c r="AH402" s="22">
        <v>0</v>
      </c>
      <c r="AI402" s="22">
        <v>525</v>
      </c>
      <c r="AJ402" s="22">
        <v>0</v>
      </c>
      <c r="AK402" s="22">
        <v>0</v>
      </c>
      <c r="AL402" s="22">
        <v>0</v>
      </c>
      <c r="AM402" s="22">
        <v>0</v>
      </c>
      <c r="AN402" s="22">
        <v>0</v>
      </c>
      <c r="AO402" s="22">
        <v>0</v>
      </c>
      <c r="AP402" s="22">
        <v>0</v>
      </c>
      <c r="AQ402" s="22">
        <v>0</v>
      </c>
      <c r="AR402" s="22">
        <v>0</v>
      </c>
      <c r="AS402" s="22">
        <v>0</v>
      </c>
      <c r="AT402" s="22">
        <v>0</v>
      </c>
      <c r="AU402" s="19">
        <f t="shared" si="12"/>
        <v>525</v>
      </c>
      <c r="AV402" s="22">
        <f>7510-35</f>
        <v>7475</v>
      </c>
      <c r="AW402" s="24" t="s">
        <v>54</v>
      </c>
      <c r="AX402" s="25">
        <v>45789</v>
      </c>
      <c r="AY402" s="15"/>
      <c r="AZ402" s="26"/>
      <c r="BA402" s="27">
        <f t="shared" si="13"/>
        <v>9.0949470177292824E-13</v>
      </c>
      <c r="BB402" s="14"/>
      <c r="BC402" s="28"/>
    </row>
    <row r="403" spans="1:55" ht="28.8" x14ac:dyDescent="0.4">
      <c r="A403" s="15">
        <v>402</v>
      </c>
      <c r="B403" s="45">
        <v>80772</v>
      </c>
      <c r="C403" s="46" t="s">
        <v>596</v>
      </c>
      <c r="D403" s="45" t="s">
        <v>221</v>
      </c>
      <c r="E403" s="45" t="s">
        <v>612</v>
      </c>
      <c r="F403" s="45">
        <v>30</v>
      </c>
      <c r="G403" s="45">
        <v>14</v>
      </c>
      <c r="H403" s="18">
        <f t="shared" si="15"/>
        <v>16</v>
      </c>
      <c r="I403" s="19">
        <f t="shared" si="9"/>
        <v>8533.3333333333339</v>
      </c>
      <c r="J403" s="45">
        <v>0</v>
      </c>
      <c r="K403" s="45">
        <v>0</v>
      </c>
      <c r="L403" s="45"/>
      <c r="M403" s="45"/>
      <c r="N403" s="45">
        <v>0</v>
      </c>
      <c r="O403" s="45">
        <v>0</v>
      </c>
      <c r="P403" s="45">
        <v>0</v>
      </c>
      <c r="Q403" s="45">
        <v>0</v>
      </c>
      <c r="R403" s="45">
        <v>16</v>
      </c>
      <c r="S403" s="23">
        <v>16000</v>
      </c>
      <c r="T403" s="19">
        <f t="shared" si="10"/>
        <v>0</v>
      </c>
      <c r="U403" s="19">
        <f t="shared" si="11"/>
        <v>7467</v>
      </c>
      <c r="V403" s="23">
        <v>7467</v>
      </c>
      <c r="W403" s="47">
        <v>0</v>
      </c>
      <c r="X403" s="23">
        <v>0</v>
      </c>
      <c r="Y403" s="23">
        <v>0</v>
      </c>
      <c r="Z403" s="23">
        <v>0</v>
      </c>
      <c r="AA403" s="23">
        <v>0</v>
      </c>
      <c r="AB403" s="23">
        <v>0</v>
      </c>
      <c r="AC403" s="23">
        <v>0</v>
      </c>
      <c r="AD403" s="23">
        <v>0</v>
      </c>
      <c r="AE403" s="23">
        <v>0</v>
      </c>
      <c r="AF403" s="23">
        <v>0</v>
      </c>
      <c r="AG403" s="23">
        <v>0</v>
      </c>
      <c r="AH403" s="23">
        <v>0</v>
      </c>
      <c r="AI403" s="23">
        <v>490</v>
      </c>
      <c r="AJ403" s="23">
        <v>0</v>
      </c>
      <c r="AK403" s="23">
        <v>0</v>
      </c>
      <c r="AL403" s="23">
        <v>0</v>
      </c>
      <c r="AM403" s="23">
        <v>0</v>
      </c>
      <c r="AN403" s="23">
        <v>0</v>
      </c>
      <c r="AO403" s="23">
        <v>0</v>
      </c>
      <c r="AP403" s="23">
        <v>0</v>
      </c>
      <c r="AQ403" s="23">
        <v>0</v>
      </c>
      <c r="AR403" s="23">
        <v>0</v>
      </c>
      <c r="AS403" s="23">
        <v>0</v>
      </c>
      <c r="AT403" s="23">
        <v>0</v>
      </c>
      <c r="AU403" s="19">
        <f t="shared" si="12"/>
        <v>490</v>
      </c>
      <c r="AV403" s="23">
        <v>6976.67</v>
      </c>
      <c r="AW403" s="48" t="s">
        <v>54</v>
      </c>
      <c r="AX403" s="49">
        <v>45789</v>
      </c>
      <c r="AY403" s="50"/>
      <c r="AZ403" s="27"/>
      <c r="BA403" s="27">
        <f t="shared" si="13"/>
        <v>-3.333333333102928E-3</v>
      </c>
      <c r="BB403" s="51"/>
      <c r="BC403" s="28"/>
    </row>
    <row r="404" spans="1:55" ht="21" x14ac:dyDescent="0.4">
      <c r="A404" s="15">
        <v>403</v>
      </c>
      <c r="B404" s="16">
        <v>80799</v>
      </c>
      <c r="C404" s="17" t="s">
        <v>596</v>
      </c>
      <c r="D404" s="16" t="s">
        <v>221</v>
      </c>
      <c r="E404" s="16" t="s">
        <v>613</v>
      </c>
      <c r="F404" s="16">
        <v>30</v>
      </c>
      <c r="G404" s="16">
        <v>6</v>
      </c>
      <c r="H404" s="18">
        <f t="shared" si="15"/>
        <v>24</v>
      </c>
      <c r="I404" s="19">
        <f t="shared" si="9"/>
        <v>12800</v>
      </c>
      <c r="J404" s="16">
        <v>0</v>
      </c>
      <c r="K404" s="20">
        <v>0</v>
      </c>
      <c r="L404" s="21"/>
      <c r="M404" s="21"/>
      <c r="N404" s="16">
        <v>0</v>
      </c>
      <c r="O404" s="16">
        <v>0</v>
      </c>
      <c r="P404" s="16">
        <v>0</v>
      </c>
      <c r="Q404" s="16">
        <v>0</v>
      </c>
      <c r="R404" s="16">
        <v>24</v>
      </c>
      <c r="S404" s="22">
        <v>16000</v>
      </c>
      <c r="T404" s="19">
        <f t="shared" si="10"/>
        <v>0</v>
      </c>
      <c r="U404" s="19">
        <f t="shared" si="11"/>
        <v>3200</v>
      </c>
      <c r="V404" s="22">
        <v>3200</v>
      </c>
      <c r="W404" s="31">
        <v>0</v>
      </c>
      <c r="X404" s="22">
        <v>0</v>
      </c>
      <c r="Y404" s="22">
        <v>0</v>
      </c>
      <c r="Z404" s="22">
        <v>0</v>
      </c>
      <c r="AA404" s="22">
        <v>0</v>
      </c>
      <c r="AB404" s="22">
        <v>0</v>
      </c>
      <c r="AC404" s="22">
        <v>0</v>
      </c>
      <c r="AD404" s="22">
        <v>0</v>
      </c>
      <c r="AE404" s="22">
        <v>0</v>
      </c>
      <c r="AF404" s="22">
        <v>0</v>
      </c>
      <c r="AG404" s="22">
        <v>0</v>
      </c>
      <c r="AH404" s="22">
        <v>0</v>
      </c>
      <c r="AI404" s="22">
        <v>210</v>
      </c>
      <c r="AJ404" s="22">
        <v>0</v>
      </c>
      <c r="AK404" s="22">
        <v>0</v>
      </c>
      <c r="AL404" s="22">
        <v>0</v>
      </c>
      <c r="AM404" s="22">
        <v>0</v>
      </c>
      <c r="AN404" s="22">
        <v>0</v>
      </c>
      <c r="AO404" s="22">
        <v>0</v>
      </c>
      <c r="AP404" s="22">
        <v>0</v>
      </c>
      <c r="AQ404" s="22">
        <v>0</v>
      </c>
      <c r="AR404" s="22">
        <v>0</v>
      </c>
      <c r="AS404" s="22">
        <v>0</v>
      </c>
      <c r="AT404" s="22">
        <v>0</v>
      </c>
      <c r="AU404" s="19">
        <f t="shared" si="12"/>
        <v>210</v>
      </c>
      <c r="AV404" s="22">
        <f>2780+210</f>
        <v>2990</v>
      </c>
      <c r="AW404" s="24"/>
      <c r="AX404" s="34"/>
      <c r="AY404" s="15"/>
      <c r="AZ404" s="26"/>
      <c r="BA404" s="27">
        <f t="shared" si="13"/>
        <v>0</v>
      </c>
      <c r="BB404" s="14"/>
      <c r="BC404" s="28"/>
    </row>
    <row r="405" spans="1:55" ht="28.8" x14ac:dyDescent="0.4">
      <c r="A405" s="15">
        <v>404</v>
      </c>
      <c r="B405" s="16">
        <v>29104</v>
      </c>
      <c r="C405" s="17" t="s">
        <v>614</v>
      </c>
      <c r="D405" s="16" t="s">
        <v>280</v>
      </c>
      <c r="E405" s="16" t="s">
        <v>615</v>
      </c>
      <c r="F405" s="16">
        <v>30</v>
      </c>
      <c r="G405" s="16">
        <v>26</v>
      </c>
      <c r="H405" s="18">
        <f t="shared" si="15"/>
        <v>4</v>
      </c>
      <c r="I405" s="19">
        <f t="shared" si="9"/>
        <v>3333.3333333333335</v>
      </c>
      <c r="J405" s="16">
        <v>0</v>
      </c>
      <c r="K405" s="20">
        <v>0</v>
      </c>
      <c r="L405" s="21"/>
      <c r="M405" s="21"/>
      <c r="N405" s="16">
        <v>0</v>
      </c>
      <c r="O405" s="16">
        <v>0</v>
      </c>
      <c r="P405" s="16">
        <v>4</v>
      </c>
      <c r="Q405" s="16">
        <v>0</v>
      </c>
      <c r="R405" s="16">
        <v>0</v>
      </c>
      <c r="S405" s="22">
        <v>25000</v>
      </c>
      <c r="T405" s="19">
        <f t="shared" si="10"/>
        <v>0</v>
      </c>
      <c r="U405" s="19">
        <f t="shared" si="11"/>
        <v>21667</v>
      </c>
      <c r="V405" s="22">
        <v>21667</v>
      </c>
      <c r="W405" s="31">
        <v>0</v>
      </c>
      <c r="X405" s="22">
        <v>0</v>
      </c>
      <c r="Y405" s="22">
        <v>0</v>
      </c>
      <c r="Z405" s="22">
        <v>0</v>
      </c>
      <c r="AA405" s="22">
        <v>0</v>
      </c>
      <c r="AB405" s="22">
        <v>0</v>
      </c>
      <c r="AC405" s="22">
        <v>0</v>
      </c>
      <c r="AD405" s="22">
        <v>0</v>
      </c>
      <c r="AE405" s="22">
        <v>0</v>
      </c>
      <c r="AF405" s="22">
        <v>0</v>
      </c>
      <c r="AG405" s="22">
        <v>0</v>
      </c>
      <c r="AH405" s="22">
        <v>0</v>
      </c>
      <c r="AI405" s="22">
        <v>910</v>
      </c>
      <c r="AJ405" s="22">
        <v>0</v>
      </c>
      <c r="AK405" s="22">
        <v>0</v>
      </c>
      <c r="AL405" s="22">
        <v>0</v>
      </c>
      <c r="AM405" s="22">
        <v>0</v>
      </c>
      <c r="AN405" s="22">
        <v>0</v>
      </c>
      <c r="AO405" s="22">
        <v>0</v>
      </c>
      <c r="AP405" s="22">
        <v>0</v>
      </c>
      <c r="AQ405" s="22">
        <v>0</v>
      </c>
      <c r="AR405" s="22">
        <v>0</v>
      </c>
      <c r="AS405" s="22">
        <v>0</v>
      </c>
      <c r="AT405" s="22">
        <v>0</v>
      </c>
      <c r="AU405" s="19">
        <f t="shared" si="12"/>
        <v>910</v>
      </c>
      <c r="AV405" s="22">
        <v>20756.669999999998</v>
      </c>
      <c r="AW405" s="24" t="s">
        <v>54</v>
      </c>
      <c r="AX405" s="25">
        <v>45791</v>
      </c>
      <c r="AY405" s="15"/>
      <c r="AZ405" s="26"/>
      <c r="BA405" s="27">
        <f t="shared" si="13"/>
        <v>-3.3333333303744439E-3</v>
      </c>
      <c r="BB405" s="14"/>
      <c r="BC405" s="28"/>
    </row>
    <row r="406" spans="1:55" ht="21" x14ac:dyDescent="0.4">
      <c r="A406" s="15">
        <v>405</v>
      </c>
      <c r="B406" s="16">
        <v>30203</v>
      </c>
      <c r="C406" s="17" t="s">
        <v>614</v>
      </c>
      <c r="D406" s="16" t="s">
        <v>280</v>
      </c>
      <c r="E406" s="16" t="s">
        <v>616</v>
      </c>
      <c r="F406" s="16">
        <v>30</v>
      </c>
      <c r="G406" s="16">
        <v>28</v>
      </c>
      <c r="H406" s="18">
        <f t="shared" si="15"/>
        <v>2</v>
      </c>
      <c r="I406" s="19">
        <f t="shared" si="9"/>
        <v>1666.6666666666667</v>
      </c>
      <c r="J406" s="16">
        <v>2</v>
      </c>
      <c r="K406" s="33">
        <v>1</v>
      </c>
      <c r="L406" s="21"/>
      <c r="M406" s="21"/>
      <c r="N406" s="16">
        <v>0</v>
      </c>
      <c r="O406" s="16">
        <v>0</v>
      </c>
      <c r="P406" s="16">
        <v>0</v>
      </c>
      <c r="Q406" s="16">
        <v>0</v>
      </c>
      <c r="R406" s="16">
        <v>2</v>
      </c>
      <c r="S406" s="22">
        <v>25000</v>
      </c>
      <c r="T406" s="19">
        <f t="shared" si="10"/>
        <v>833.33333333333337</v>
      </c>
      <c r="U406" s="19">
        <f t="shared" si="11"/>
        <v>23333</v>
      </c>
      <c r="V406" s="22">
        <v>21667</v>
      </c>
      <c r="W406" s="31">
        <f>833+833</f>
        <v>1666</v>
      </c>
      <c r="X406" s="22">
        <v>0</v>
      </c>
      <c r="Y406" s="22">
        <v>0</v>
      </c>
      <c r="Z406" s="22">
        <v>0</v>
      </c>
      <c r="AA406" s="22">
        <v>0</v>
      </c>
      <c r="AB406" s="22">
        <v>0</v>
      </c>
      <c r="AC406" s="22">
        <v>0</v>
      </c>
      <c r="AD406" s="22">
        <v>0</v>
      </c>
      <c r="AE406" s="22">
        <v>0</v>
      </c>
      <c r="AF406" s="22">
        <v>0</v>
      </c>
      <c r="AG406" s="22">
        <v>0</v>
      </c>
      <c r="AH406" s="22">
        <v>0</v>
      </c>
      <c r="AI406" s="22">
        <v>980</v>
      </c>
      <c r="AJ406" s="22">
        <v>0</v>
      </c>
      <c r="AK406" s="22">
        <v>0</v>
      </c>
      <c r="AL406" s="22">
        <v>0</v>
      </c>
      <c r="AM406" s="22">
        <v>0</v>
      </c>
      <c r="AN406" s="22">
        <v>0</v>
      </c>
      <c r="AO406" s="22">
        <v>0</v>
      </c>
      <c r="AP406" s="22">
        <v>0</v>
      </c>
      <c r="AQ406" s="22">
        <v>0</v>
      </c>
      <c r="AR406" s="22">
        <v>0</v>
      </c>
      <c r="AS406" s="22">
        <v>0</v>
      </c>
      <c r="AT406" s="22">
        <v>0</v>
      </c>
      <c r="AU406" s="19">
        <f t="shared" si="12"/>
        <v>980</v>
      </c>
      <c r="AV406" s="22">
        <f>21520+833</f>
        <v>22353</v>
      </c>
      <c r="AW406" s="29" t="s">
        <v>54</v>
      </c>
      <c r="AX406" s="25">
        <v>45789</v>
      </c>
      <c r="AY406" s="15">
        <f>25000/30*29-980</f>
        <v>23186.666666666668</v>
      </c>
      <c r="AZ406" s="26">
        <f>AY406-AV406</f>
        <v>833.66666666666788</v>
      </c>
      <c r="BA406" s="27">
        <f t="shared" si="13"/>
        <v>-832.99999999999636</v>
      </c>
      <c r="BB406" s="14"/>
      <c r="BC406" s="28"/>
    </row>
    <row r="407" spans="1:55" ht="21" x14ac:dyDescent="0.4">
      <c r="A407" s="15">
        <v>406</v>
      </c>
      <c r="B407" s="16">
        <v>30212</v>
      </c>
      <c r="C407" s="17" t="s">
        <v>614</v>
      </c>
      <c r="D407" s="16" t="s">
        <v>212</v>
      </c>
      <c r="E407" s="16" t="s">
        <v>617</v>
      </c>
      <c r="F407" s="16">
        <v>30</v>
      </c>
      <c r="G407" s="16">
        <v>22</v>
      </c>
      <c r="H407" s="18">
        <f t="shared" si="15"/>
        <v>8</v>
      </c>
      <c r="I407" s="19">
        <f t="shared" si="9"/>
        <v>5333.333333333333</v>
      </c>
      <c r="J407" s="16">
        <v>0</v>
      </c>
      <c r="K407" s="20">
        <v>0</v>
      </c>
      <c r="L407" s="21"/>
      <c r="M407" s="21"/>
      <c r="N407" s="16">
        <v>0</v>
      </c>
      <c r="O407" s="16">
        <v>0</v>
      </c>
      <c r="P407" s="16">
        <v>4</v>
      </c>
      <c r="Q407" s="16">
        <v>0</v>
      </c>
      <c r="R407" s="16">
        <v>4</v>
      </c>
      <c r="S407" s="32">
        <v>20000</v>
      </c>
      <c r="T407" s="19">
        <f t="shared" si="10"/>
        <v>0</v>
      </c>
      <c r="U407" s="19">
        <f t="shared" si="11"/>
        <v>14667</v>
      </c>
      <c r="V407" s="22">
        <v>14667</v>
      </c>
      <c r="W407" s="31">
        <v>0</v>
      </c>
      <c r="X407" s="22">
        <v>0</v>
      </c>
      <c r="Y407" s="22">
        <v>0</v>
      </c>
      <c r="Z407" s="22">
        <v>0</v>
      </c>
      <c r="AA407" s="22">
        <v>0</v>
      </c>
      <c r="AB407" s="22">
        <v>0</v>
      </c>
      <c r="AC407" s="22">
        <v>0</v>
      </c>
      <c r="AD407" s="22">
        <v>0</v>
      </c>
      <c r="AE407" s="22">
        <v>0</v>
      </c>
      <c r="AF407" s="22">
        <v>2000</v>
      </c>
      <c r="AG407" s="22">
        <v>0</v>
      </c>
      <c r="AH407" s="22">
        <v>0</v>
      </c>
      <c r="AI407" s="22">
        <v>770</v>
      </c>
      <c r="AJ407" s="22">
        <v>0</v>
      </c>
      <c r="AK407" s="22">
        <v>0</v>
      </c>
      <c r="AL407" s="22">
        <v>0</v>
      </c>
      <c r="AM407" s="22">
        <v>0</v>
      </c>
      <c r="AN407" s="22">
        <v>0</v>
      </c>
      <c r="AO407" s="22">
        <v>0</v>
      </c>
      <c r="AP407" s="22">
        <v>0</v>
      </c>
      <c r="AQ407" s="22">
        <v>0</v>
      </c>
      <c r="AR407" s="22">
        <v>0</v>
      </c>
      <c r="AS407" s="22">
        <v>0</v>
      </c>
      <c r="AT407" s="22">
        <v>0</v>
      </c>
      <c r="AU407" s="19">
        <f t="shared" si="12"/>
        <v>2770</v>
      </c>
      <c r="AV407" s="22">
        <f>11931.67-35</f>
        <v>11896.67</v>
      </c>
      <c r="AW407" s="24" t="s">
        <v>54</v>
      </c>
      <c r="AX407" s="25">
        <v>45790</v>
      </c>
      <c r="AY407" s="15"/>
      <c r="AZ407" s="26"/>
      <c r="BA407" s="27">
        <f t="shared" si="13"/>
        <v>-3.3333333340124227E-3</v>
      </c>
      <c r="BB407" s="14"/>
      <c r="BC407" s="28"/>
    </row>
    <row r="408" spans="1:55" ht="28.8" x14ac:dyDescent="0.4">
      <c r="A408" s="15">
        <v>407</v>
      </c>
      <c r="B408" s="16">
        <v>32135</v>
      </c>
      <c r="C408" s="17" t="s">
        <v>614</v>
      </c>
      <c r="D408" s="16" t="s">
        <v>280</v>
      </c>
      <c r="E408" s="16" t="s">
        <v>618</v>
      </c>
      <c r="F408" s="16">
        <v>30</v>
      </c>
      <c r="G408" s="16">
        <v>29</v>
      </c>
      <c r="H408" s="18">
        <f t="shared" si="15"/>
        <v>1</v>
      </c>
      <c r="I408" s="19">
        <f t="shared" si="9"/>
        <v>833.33333333333337</v>
      </c>
      <c r="J408" s="16">
        <v>0</v>
      </c>
      <c r="K408" s="20">
        <v>0</v>
      </c>
      <c r="L408" s="21"/>
      <c r="M408" s="21"/>
      <c r="N408" s="16">
        <v>0</v>
      </c>
      <c r="O408" s="16">
        <v>0</v>
      </c>
      <c r="P408" s="16">
        <v>1</v>
      </c>
      <c r="Q408" s="16">
        <v>0</v>
      </c>
      <c r="R408" s="16">
        <v>0</v>
      </c>
      <c r="S408" s="32">
        <v>25000</v>
      </c>
      <c r="T408" s="19">
        <f t="shared" si="10"/>
        <v>0</v>
      </c>
      <c r="U408" s="19">
        <f t="shared" si="11"/>
        <v>24167</v>
      </c>
      <c r="V408" s="22">
        <v>24167</v>
      </c>
      <c r="W408" s="31">
        <v>0</v>
      </c>
      <c r="X408" s="22">
        <v>0</v>
      </c>
      <c r="Y408" s="22">
        <v>0</v>
      </c>
      <c r="Z408" s="22">
        <v>0</v>
      </c>
      <c r="AA408" s="22">
        <v>0</v>
      </c>
      <c r="AB408" s="22">
        <v>0</v>
      </c>
      <c r="AC408" s="22">
        <v>0</v>
      </c>
      <c r="AD408" s="22">
        <v>0</v>
      </c>
      <c r="AE408" s="22">
        <v>0</v>
      </c>
      <c r="AF408" s="22">
        <v>0</v>
      </c>
      <c r="AG408" s="22">
        <v>0</v>
      </c>
      <c r="AH408" s="22">
        <v>0</v>
      </c>
      <c r="AI408" s="22">
        <v>1015</v>
      </c>
      <c r="AJ408" s="22">
        <v>0</v>
      </c>
      <c r="AK408" s="22">
        <v>0</v>
      </c>
      <c r="AL408" s="22">
        <v>0</v>
      </c>
      <c r="AM408" s="22">
        <v>0</v>
      </c>
      <c r="AN408" s="22">
        <v>0</v>
      </c>
      <c r="AO408" s="22">
        <v>0</v>
      </c>
      <c r="AP408" s="22">
        <v>0</v>
      </c>
      <c r="AQ408" s="22">
        <v>0</v>
      </c>
      <c r="AR408" s="22">
        <v>0</v>
      </c>
      <c r="AS408" s="22">
        <v>0</v>
      </c>
      <c r="AT408" s="22">
        <v>0</v>
      </c>
      <c r="AU408" s="19">
        <f t="shared" si="12"/>
        <v>1015</v>
      </c>
      <c r="AV408" s="22">
        <v>23151.67</v>
      </c>
      <c r="AW408" s="24" t="s">
        <v>54</v>
      </c>
      <c r="AX408" s="25">
        <v>45789</v>
      </c>
      <c r="AY408" s="15"/>
      <c r="AZ408" s="26"/>
      <c r="BA408" s="27">
        <f t="shared" si="13"/>
        <v>-3.3333333303744439E-3</v>
      </c>
      <c r="BB408" s="14"/>
      <c r="BC408" s="28"/>
    </row>
    <row r="409" spans="1:55" ht="28.8" x14ac:dyDescent="0.4">
      <c r="A409" s="15">
        <v>408</v>
      </c>
      <c r="B409" s="16">
        <v>32091</v>
      </c>
      <c r="C409" s="17" t="s">
        <v>614</v>
      </c>
      <c r="D409" s="16" t="s">
        <v>280</v>
      </c>
      <c r="E409" s="16" t="s">
        <v>619</v>
      </c>
      <c r="F409" s="16">
        <v>30</v>
      </c>
      <c r="G409" s="16">
        <v>30</v>
      </c>
      <c r="H409" s="18">
        <f t="shared" si="15"/>
        <v>0</v>
      </c>
      <c r="I409" s="19">
        <f t="shared" si="9"/>
        <v>0</v>
      </c>
      <c r="J409" s="16">
        <v>0</v>
      </c>
      <c r="K409" s="20">
        <v>0</v>
      </c>
      <c r="L409" s="21"/>
      <c r="M409" s="21"/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22">
        <v>25000</v>
      </c>
      <c r="T409" s="19">
        <f t="shared" si="10"/>
        <v>0</v>
      </c>
      <c r="U409" s="19">
        <f t="shared" si="11"/>
        <v>25000</v>
      </c>
      <c r="V409" s="22">
        <v>25000</v>
      </c>
      <c r="W409" s="31">
        <v>0</v>
      </c>
      <c r="X409" s="22">
        <v>0</v>
      </c>
      <c r="Y409" s="22">
        <v>0</v>
      </c>
      <c r="Z409" s="22">
        <v>0</v>
      </c>
      <c r="AA409" s="22">
        <v>0</v>
      </c>
      <c r="AB409" s="22">
        <v>0</v>
      </c>
      <c r="AC409" s="22">
        <v>0</v>
      </c>
      <c r="AD409" s="22">
        <v>0</v>
      </c>
      <c r="AE409" s="22">
        <v>0</v>
      </c>
      <c r="AF409" s="22">
        <v>23500</v>
      </c>
      <c r="AG409" s="22">
        <v>0</v>
      </c>
      <c r="AH409" s="22">
        <v>0</v>
      </c>
      <c r="AI409" s="22">
        <v>1050</v>
      </c>
      <c r="AJ409" s="22">
        <v>0</v>
      </c>
      <c r="AK409" s="22">
        <v>0</v>
      </c>
      <c r="AL409" s="22">
        <v>0</v>
      </c>
      <c r="AM409" s="22">
        <v>0</v>
      </c>
      <c r="AN409" s="22">
        <v>0</v>
      </c>
      <c r="AO409" s="22">
        <v>0</v>
      </c>
      <c r="AP409" s="22">
        <v>0</v>
      </c>
      <c r="AQ409" s="22">
        <v>0</v>
      </c>
      <c r="AR409" s="22">
        <v>0</v>
      </c>
      <c r="AS409" s="22">
        <v>0</v>
      </c>
      <c r="AT409" s="22">
        <v>0</v>
      </c>
      <c r="AU409" s="19">
        <f t="shared" si="12"/>
        <v>24550</v>
      </c>
      <c r="AV409" s="22">
        <f>255+195</f>
        <v>450</v>
      </c>
      <c r="AW409" s="24"/>
      <c r="AX409" s="34"/>
      <c r="AY409" s="15"/>
      <c r="AZ409" s="26"/>
      <c r="BA409" s="27">
        <f t="shared" si="13"/>
        <v>0</v>
      </c>
      <c r="BB409" s="14"/>
      <c r="BC409" s="28"/>
    </row>
    <row r="410" spans="1:55" ht="43.8" x14ac:dyDescent="0.5">
      <c r="A410" s="15">
        <v>409</v>
      </c>
      <c r="B410" s="16">
        <v>80568</v>
      </c>
      <c r="C410" s="17" t="s">
        <v>614</v>
      </c>
      <c r="D410" s="16" t="s">
        <v>597</v>
      </c>
      <c r="E410" s="16" t="s">
        <v>503</v>
      </c>
      <c r="F410" s="16">
        <v>30</v>
      </c>
      <c r="G410" s="16">
        <v>30</v>
      </c>
      <c r="H410" s="18">
        <f t="shared" si="15"/>
        <v>0</v>
      </c>
      <c r="I410" s="19">
        <f t="shared" si="9"/>
        <v>0</v>
      </c>
      <c r="J410" s="16">
        <v>0</v>
      </c>
      <c r="K410" s="20">
        <v>0</v>
      </c>
      <c r="L410" s="21"/>
      <c r="M410" s="21"/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22">
        <v>16000</v>
      </c>
      <c r="T410" s="19">
        <f t="shared" si="10"/>
        <v>0</v>
      </c>
      <c r="U410" s="19">
        <f t="shared" si="11"/>
        <v>16000</v>
      </c>
      <c r="V410" s="22">
        <v>16000</v>
      </c>
      <c r="W410" s="31">
        <v>0</v>
      </c>
      <c r="X410" s="22">
        <v>0</v>
      </c>
      <c r="Y410" s="22">
        <v>0</v>
      </c>
      <c r="Z410" s="22">
        <v>0</v>
      </c>
      <c r="AA410" s="22">
        <v>0</v>
      </c>
      <c r="AB410" s="22">
        <v>0</v>
      </c>
      <c r="AC410" s="22">
        <v>0</v>
      </c>
      <c r="AD410" s="22">
        <v>0</v>
      </c>
      <c r="AE410" s="22">
        <v>0</v>
      </c>
      <c r="AF410" s="22">
        <v>0</v>
      </c>
      <c r="AG410" s="22">
        <v>0</v>
      </c>
      <c r="AH410" s="22">
        <v>0</v>
      </c>
      <c r="AI410" s="22">
        <v>1050</v>
      </c>
      <c r="AJ410" s="22">
        <v>0</v>
      </c>
      <c r="AK410" s="22">
        <v>0</v>
      </c>
      <c r="AL410" s="22">
        <v>0</v>
      </c>
      <c r="AM410" s="22">
        <v>0</v>
      </c>
      <c r="AN410" s="22">
        <v>0</v>
      </c>
      <c r="AO410" s="22">
        <v>0</v>
      </c>
      <c r="AP410" s="22">
        <v>0</v>
      </c>
      <c r="AQ410" s="22">
        <v>0</v>
      </c>
      <c r="AR410" s="22">
        <v>0</v>
      </c>
      <c r="AS410" s="22">
        <v>0</v>
      </c>
      <c r="AT410" s="22">
        <v>0</v>
      </c>
      <c r="AU410" s="19">
        <f t="shared" si="12"/>
        <v>1050</v>
      </c>
      <c r="AV410" s="22">
        <v>14950</v>
      </c>
      <c r="AW410" s="24" t="s">
        <v>54</v>
      </c>
      <c r="AX410" s="52">
        <v>45792</v>
      </c>
      <c r="AY410" s="15"/>
      <c r="AZ410" s="26"/>
      <c r="BA410" s="27">
        <f t="shared" si="13"/>
        <v>1.8189894035458565E-12</v>
      </c>
      <c r="BB410" s="14"/>
      <c r="BC410" s="28"/>
    </row>
    <row r="411" spans="1:55" ht="28.8" x14ac:dyDescent="0.4">
      <c r="A411" s="15">
        <v>410</v>
      </c>
      <c r="B411" s="16">
        <v>80569</v>
      </c>
      <c r="C411" s="17" t="s">
        <v>614</v>
      </c>
      <c r="D411" s="16" t="s">
        <v>597</v>
      </c>
      <c r="E411" s="16" t="s">
        <v>620</v>
      </c>
      <c r="F411" s="16">
        <v>30</v>
      </c>
      <c r="G411" s="16">
        <v>26</v>
      </c>
      <c r="H411" s="18">
        <f t="shared" si="15"/>
        <v>4</v>
      </c>
      <c r="I411" s="19">
        <f t="shared" si="9"/>
        <v>2133.3333333333335</v>
      </c>
      <c r="J411" s="16">
        <v>0</v>
      </c>
      <c r="K411" s="20">
        <v>0</v>
      </c>
      <c r="L411" s="21"/>
      <c r="M411" s="21"/>
      <c r="N411" s="16">
        <v>0</v>
      </c>
      <c r="O411" s="16">
        <v>0</v>
      </c>
      <c r="P411" s="16">
        <v>1</v>
      </c>
      <c r="Q411" s="16">
        <v>1</v>
      </c>
      <c r="R411" s="16">
        <v>2</v>
      </c>
      <c r="S411" s="22">
        <v>16000</v>
      </c>
      <c r="T411" s="19">
        <f t="shared" si="10"/>
        <v>0</v>
      </c>
      <c r="U411" s="19">
        <f t="shared" si="11"/>
        <v>13867</v>
      </c>
      <c r="V411" s="22">
        <v>13867</v>
      </c>
      <c r="W411" s="31">
        <v>0</v>
      </c>
      <c r="X411" s="22">
        <v>0</v>
      </c>
      <c r="Y411" s="22">
        <v>0</v>
      </c>
      <c r="Z411" s="22">
        <v>1600</v>
      </c>
      <c r="AA411" s="22">
        <v>0</v>
      </c>
      <c r="AB411" s="22">
        <v>0</v>
      </c>
      <c r="AC411" s="22">
        <v>0</v>
      </c>
      <c r="AD411" s="22">
        <v>0</v>
      </c>
      <c r="AE411" s="22">
        <v>0</v>
      </c>
      <c r="AF411" s="22">
        <v>2000</v>
      </c>
      <c r="AG411" s="22">
        <v>0</v>
      </c>
      <c r="AH411" s="22">
        <v>0</v>
      </c>
      <c r="AI411" s="22">
        <v>910</v>
      </c>
      <c r="AJ411" s="22">
        <v>0</v>
      </c>
      <c r="AK411" s="22">
        <v>0</v>
      </c>
      <c r="AL411" s="22">
        <v>0</v>
      </c>
      <c r="AM411" s="22">
        <v>0</v>
      </c>
      <c r="AN411" s="22">
        <v>0</v>
      </c>
      <c r="AO411" s="22">
        <v>0</v>
      </c>
      <c r="AP411" s="22">
        <v>0</v>
      </c>
      <c r="AQ411" s="22">
        <v>0</v>
      </c>
      <c r="AR411" s="22">
        <v>0</v>
      </c>
      <c r="AS411" s="22">
        <v>0</v>
      </c>
      <c r="AT411" s="22">
        <v>0</v>
      </c>
      <c r="AU411" s="19">
        <f t="shared" si="12"/>
        <v>4510</v>
      </c>
      <c r="AV411" s="22">
        <v>9356.67</v>
      </c>
      <c r="AW411" s="24" t="s">
        <v>54</v>
      </c>
      <c r="AX411" s="25">
        <v>45789</v>
      </c>
      <c r="AY411" s="15"/>
      <c r="AZ411" s="26"/>
      <c r="BA411" s="27">
        <f t="shared" si="13"/>
        <v>-3.3333333321934333E-3</v>
      </c>
      <c r="BB411" s="14"/>
      <c r="BC411" s="28"/>
    </row>
    <row r="412" spans="1:55" ht="28.8" x14ac:dyDescent="0.4">
      <c r="A412" s="15">
        <v>411</v>
      </c>
      <c r="B412" s="36">
        <v>29078</v>
      </c>
      <c r="C412" s="37" t="s">
        <v>621</v>
      </c>
      <c r="D412" s="36" t="s">
        <v>280</v>
      </c>
      <c r="E412" s="36" t="s">
        <v>622</v>
      </c>
      <c r="F412" s="16">
        <v>30</v>
      </c>
      <c r="G412" s="16">
        <v>27</v>
      </c>
      <c r="H412" s="18">
        <f t="shared" si="15"/>
        <v>3</v>
      </c>
      <c r="I412" s="19">
        <f t="shared" si="9"/>
        <v>2500</v>
      </c>
      <c r="J412" s="16">
        <v>0</v>
      </c>
      <c r="K412" s="20">
        <v>0</v>
      </c>
      <c r="L412" s="21"/>
      <c r="M412" s="21"/>
      <c r="N412" s="16">
        <v>0</v>
      </c>
      <c r="O412" s="16">
        <v>0</v>
      </c>
      <c r="P412" s="16">
        <v>0</v>
      </c>
      <c r="Q412" s="16">
        <v>2</v>
      </c>
      <c r="R412" s="16">
        <v>1</v>
      </c>
      <c r="S412" s="22">
        <v>25000</v>
      </c>
      <c r="T412" s="19">
        <f t="shared" si="10"/>
        <v>0</v>
      </c>
      <c r="U412" s="19">
        <f t="shared" si="11"/>
        <v>22500</v>
      </c>
      <c r="V412" s="22">
        <v>22500</v>
      </c>
      <c r="W412" s="31">
        <v>0</v>
      </c>
      <c r="X412" s="22">
        <v>0</v>
      </c>
      <c r="Y412" s="22">
        <v>0</v>
      </c>
      <c r="Z412" s="22">
        <v>5000</v>
      </c>
      <c r="AA412" s="22">
        <v>0</v>
      </c>
      <c r="AB412" s="22">
        <v>0</v>
      </c>
      <c r="AC412" s="22">
        <v>2005</v>
      </c>
      <c r="AD412" s="22">
        <v>0</v>
      </c>
      <c r="AE412" s="22">
        <v>0</v>
      </c>
      <c r="AF412" s="22">
        <v>0</v>
      </c>
      <c r="AG412" s="22">
        <v>0</v>
      </c>
      <c r="AH412" s="22">
        <v>0</v>
      </c>
      <c r="AI412" s="22">
        <v>945</v>
      </c>
      <c r="AJ412" s="22">
        <v>0</v>
      </c>
      <c r="AK412" s="22">
        <v>0</v>
      </c>
      <c r="AL412" s="22">
        <v>0</v>
      </c>
      <c r="AM412" s="22">
        <v>0</v>
      </c>
      <c r="AN412" s="22">
        <v>0</v>
      </c>
      <c r="AO412" s="22">
        <v>0</v>
      </c>
      <c r="AP412" s="22">
        <v>0</v>
      </c>
      <c r="AQ412" s="22">
        <v>0</v>
      </c>
      <c r="AR412" s="22">
        <v>0</v>
      </c>
      <c r="AS412" s="22">
        <v>0</v>
      </c>
      <c r="AT412" s="22">
        <v>0</v>
      </c>
      <c r="AU412" s="19">
        <f t="shared" si="12"/>
        <v>7950</v>
      </c>
      <c r="AV412" s="22">
        <v>14550</v>
      </c>
      <c r="AW412" s="24" t="s">
        <v>54</v>
      </c>
      <c r="AX412" s="34"/>
      <c r="AY412" s="15"/>
      <c r="AZ412" s="26"/>
      <c r="BA412" s="27">
        <f t="shared" si="13"/>
        <v>0</v>
      </c>
      <c r="BB412" s="14"/>
      <c r="BC412" s="28"/>
    </row>
    <row r="413" spans="1:55" ht="28.8" x14ac:dyDescent="0.4">
      <c r="A413" s="15">
        <v>412</v>
      </c>
      <c r="B413" s="16">
        <v>28083</v>
      </c>
      <c r="C413" s="17" t="s">
        <v>621</v>
      </c>
      <c r="D413" s="16" t="s">
        <v>280</v>
      </c>
      <c r="E413" s="16" t="s">
        <v>623</v>
      </c>
      <c r="F413" s="16">
        <v>30</v>
      </c>
      <c r="G413" s="16">
        <v>29</v>
      </c>
      <c r="H413" s="18">
        <f t="shared" si="15"/>
        <v>1</v>
      </c>
      <c r="I413" s="19">
        <f t="shared" si="9"/>
        <v>833.33333333333337</v>
      </c>
      <c r="J413" s="16">
        <v>1</v>
      </c>
      <c r="K413" s="20">
        <v>0</v>
      </c>
      <c r="L413" s="21"/>
      <c r="M413" s="21"/>
      <c r="N413" s="16">
        <v>0</v>
      </c>
      <c r="O413" s="16">
        <v>0</v>
      </c>
      <c r="P413" s="16">
        <v>1</v>
      </c>
      <c r="Q413" s="16">
        <v>0</v>
      </c>
      <c r="R413" s="16">
        <v>0</v>
      </c>
      <c r="S413" s="32">
        <v>25000</v>
      </c>
      <c r="T413" s="19">
        <f t="shared" si="10"/>
        <v>0</v>
      </c>
      <c r="U413" s="19">
        <f t="shared" si="11"/>
        <v>24166</v>
      </c>
      <c r="V413" s="22">
        <v>23333</v>
      </c>
      <c r="W413" s="31">
        <v>833</v>
      </c>
      <c r="X413" s="22">
        <v>0</v>
      </c>
      <c r="Y413" s="22">
        <v>0</v>
      </c>
      <c r="Z413" s="22">
        <v>0</v>
      </c>
      <c r="AA413" s="22">
        <v>0</v>
      </c>
      <c r="AB413" s="22">
        <v>0</v>
      </c>
      <c r="AC413" s="22">
        <v>0</v>
      </c>
      <c r="AD413" s="22">
        <v>0</v>
      </c>
      <c r="AE413" s="22">
        <v>0</v>
      </c>
      <c r="AF413" s="22">
        <v>0</v>
      </c>
      <c r="AG413" s="22">
        <v>0</v>
      </c>
      <c r="AH413" s="22">
        <v>0</v>
      </c>
      <c r="AI413" s="22">
        <v>1015</v>
      </c>
      <c r="AJ413" s="22">
        <v>0</v>
      </c>
      <c r="AK413" s="22">
        <v>0</v>
      </c>
      <c r="AL413" s="22">
        <v>0</v>
      </c>
      <c r="AM413" s="22">
        <v>0</v>
      </c>
      <c r="AN413" s="22">
        <v>0</v>
      </c>
      <c r="AO413" s="22">
        <v>0</v>
      </c>
      <c r="AP413" s="22">
        <v>0</v>
      </c>
      <c r="AQ413" s="22">
        <v>0</v>
      </c>
      <c r="AR413" s="22">
        <v>0</v>
      </c>
      <c r="AS413" s="22">
        <v>0</v>
      </c>
      <c r="AT413" s="22">
        <v>0</v>
      </c>
      <c r="AU413" s="19">
        <f t="shared" si="12"/>
        <v>1015</v>
      </c>
      <c r="AV413" s="22">
        <v>23151.67</v>
      </c>
      <c r="AW413" s="24" t="s">
        <v>54</v>
      </c>
      <c r="AX413" s="25">
        <v>45789</v>
      </c>
      <c r="AY413" s="15"/>
      <c r="AZ413" s="26"/>
      <c r="BA413" s="27">
        <f t="shared" si="13"/>
        <v>-3.3333333303744439E-3</v>
      </c>
      <c r="BB413" s="14"/>
      <c r="BC413" s="28"/>
    </row>
    <row r="414" spans="1:55" ht="28.8" x14ac:dyDescent="0.4">
      <c r="A414" s="15">
        <v>413</v>
      </c>
      <c r="B414" s="16">
        <v>32057</v>
      </c>
      <c r="C414" s="17" t="s">
        <v>621</v>
      </c>
      <c r="D414" s="16" t="s">
        <v>624</v>
      </c>
      <c r="E414" s="16" t="s">
        <v>625</v>
      </c>
      <c r="F414" s="16">
        <v>30</v>
      </c>
      <c r="G414" s="16">
        <v>28</v>
      </c>
      <c r="H414" s="18">
        <f t="shared" si="15"/>
        <v>2</v>
      </c>
      <c r="I414" s="19">
        <f t="shared" si="9"/>
        <v>1666.6666666666667</v>
      </c>
      <c r="J414" s="16">
        <v>0</v>
      </c>
      <c r="K414" s="20">
        <v>0</v>
      </c>
      <c r="L414" s="21"/>
      <c r="M414" s="21"/>
      <c r="N414" s="16">
        <v>0</v>
      </c>
      <c r="O414" s="16">
        <v>0</v>
      </c>
      <c r="P414" s="16">
        <v>2</v>
      </c>
      <c r="Q414" s="16">
        <v>0</v>
      </c>
      <c r="R414" s="16">
        <v>0</v>
      </c>
      <c r="S414" s="22">
        <v>25000</v>
      </c>
      <c r="T414" s="19">
        <f t="shared" si="10"/>
        <v>0</v>
      </c>
      <c r="U414" s="19">
        <f t="shared" si="11"/>
        <v>23333</v>
      </c>
      <c r="V414" s="22">
        <v>23333</v>
      </c>
      <c r="W414" s="31">
        <v>0</v>
      </c>
      <c r="X414" s="22">
        <v>0</v>
      </c>
      <c r="Y414" s="22">
        <v>0</v>
      </c>
      <c r="Z414" s="22">
        <v>0</v>
      </c>
      <c r="AA414" s="22">
        <v>0</v>
      </c>
      <c r="AB414" s="22">
        <v>0</v>
      </c>
      <c r="AC414" s="22">
        <v>0</v>
      </c>
      <c r="AD414" s="22">
        <v>0</v>
      </c>
      <c r="AE414" s="22">
        <v>0</v>
      </c>
      <c r="AF414" s="22">
        <v>0</v>
      </c>
      <c r="AG414" s="22">
        <v>0</v>
      </c>
      <c r="AH414" s="22">
        <v>0</v>
      </c>
      <c r="AI414" s="22">
        <v>980</v>
      </c>
      <c r="AJ414" s="22">
        <v>0</v>
      </c>
      <c r="AK414" s="22">
        <v>0</v>
      </c>
      <c r="AL414" s="22">
        <v>0</v>
      </c>
      <c r="AM414" s="22">
        <v>0</v>
      </c>
      <c r="AN414" s="22">
        <v>0</v>
      </c>
      <c r="AO414" s="22">
        <v>0</v>
      </c>
      <c r="AP414" s="22">
        <v>0</v>
      </c>
      <c r="AQ414" s="22">
        <v>0</v>
      </c>
      <c r="AR414" s="22">
        <v>0</v>
      </c>
      <c r="AS414" s="22">
        <v>0</v>
      </c>
      <c r="AT414" s="22">
        <v>0</v>
      </c>
      <c r="AU414" s="19">
        <f t="shared" si="12"/>
        <v>980</v>
      </c>
      <c r="AV414" s="22">
        <v>22353.33</v>
      </c>
      <c r="AW414" s="24" t="s">
        <v>54</v>
      </c>
      <c r="AX414" s="25">
        <v>45790</v>
      </c>
      <c r="AY414" s="15"/>
      <c r="AZ414" s="26"/>
      <c r="BA414" s="27">
        <f t="shared" si="13"/>
        <v>3.3333333340124227E-3</v>
      </c>
      <c r="BB414" s="14"/>
      <c r="BC414" s="28"/>
    </row>
    <row r="415" spans="1:55" ht="28.8" x14ac:dyDescent="0.4">
      <c r="A415" s="15">
        <v>414</v>
      </c>
      <c r="B415" s="16">
        <v>33154</v>
      </c>
      <c r="C415" s="17" t="s">
        <v>621</v>
      </c>
      <c r="D415" s="16" t="s">
        <v>419</v>
      </c>
      <c r="E415" s="16" t="s">
        <v>626</v>
      </c>
      <c r="F415" s="16">
        <v>30</v>
      </c>
      <c r="G415" s="16">
        <v>28</v>
      </c>
      <c r="H415" s="18">
        <f t="shared" si="15"/>
        <v>2</v>
      </c>
      <c r="I415" s="19">
        <f t="shared" si="9"/>
        <v>1533.3333333333333</v>
      </c>
      <c r="J415" s="16">
        <v>0</v>
      </c>
      <c r="K415" s="20">
        <v>0</v>
      </c>
      <c r="L415" s="21"/>
      <c r="M415" s="21"/>
      <c r="N415" s="16">
        <v>0</v>
      </c>
      <c r="O415" s="16">
        <v>0</v>
      </c>
      <c r="P415" s="16">
        <v>0</v>
      </c>
      <c r="Q415" s="16">
        <v>1</v>
      </c>
      <c r="R415" s="16">
        <v>1</v>
      </c>
      <c r="S415" s="32">
        <v>23000</v>
      </c>
      <c r="T415" s="19">
        <f t="shared" si="10"/>
        <v>0</v>
      </c>
      <c r="U415" s="19">
        <f t="shared" si="11"/>
        <v>21467</v>
      </c>
      <c r="V415" s="22">
        <v>21467</v>
      </c>
      <c r="W415" s="31">
        <v>0</v>
      </c>
      <c r="X415" s="22">
        <v>0</v>
      </c>
      <c r="Y415" s="22">
        <v>0</v>
      </c>
      <c r="Z415" s="22">
        <v>2300</v>
      </c>
      <c r="AA415" s="22">
        <v>0</v>
      </c>
      <c r="AB415" s="22">
        <v>0</v>
      </c>
      <c r="AC415" s="22">
        <v>0</v>
      </c>
      <c r="AD415" s="22">
        <v>0</v>
      </c>
      <c r="AE415" s="22">
        <v>0</v>
      </c>
      <c r="AF415" s="22">
        <v>0</v>
      </c>
      <c r="AG415" s="22">
        <v>0</v>
      </c>
      <c r="AH415" s="22">
        <v>0</v>
      </c>
      <c r="AI415" s="22">
        <v>980</v>
      </c>
      <c r="AJ415" s="22">
        <v>0</v>
      </c>
      <c r="AK415" s="22">
        <v>0</v>
      </c>
      <c r="AL415" s="22">
        <v>0</v>
      </c>
      <c r="AM415" s="22">
        <v>0</v>
      </c>
      <c r="AN415" s="22">
        <v>0</v>
      </c>
      <c r="AO415" s="22">
        <v>0</v>
      </c>
      <c r="AP415" s="22">
        <v>0</v>
      </c>
      <c r="AQ415" s="22">
        <v>0</v>
      </c>
      <c r="AR415" s="22">
        <v>0</v>
      </c>
      <c r="AS415" s="22">
        <v>0</v>
      </c>
      <c r="AT415" s="22">
        <v>0</v>
      </c>
      <c r="AU415" s="19">
        <f t="shared" si="12"/>
        <v>3280</v>
      </c>
      <c r="AV415" s="22">
        <v>18186.669999999998</v>
      </c>
      <c r="AW415" s="24" t="s">
        <v>54</v>
      </c>
      <c r="AX415" s="25">
        <v>45789</v>
      </c>
      <c r="AY415" s="15"/>
      <c r="AZ415" s="26"/>
      <c r="BA415" s="27">
        <f t="shared" si="13"/>
        <v>-3.3333333340124227E-3</v>
      </c>
      <c r="BB415" s="14"/>
      <c r="BC415" s="28"/>
    </row>
    <row r="416" spans="1:55" ht="21" x14ac:dyDescent="0.4">
      <c r="A416" s="15">
        <v>415</v>
      </c>
      <c r="B416" s="16">
        <v>80332</v>
      </c>
      <c r="C416" s="17" t="s">
        <v>621</v>
      </c>
      <c r="D416" s="16" t="s">
        <v>602</v>
      </c>
      <c r="E416" s="16" t="s">
        <v>627</v>
      </c>
      <c r="F416" s="16">
        <v>30</v>
      </c>
      <c r="G416" s="16">
        <v>30</v>
      </c>
      <c r="H416" s="18">
        <f t="shared" si="15"/>
        <v>0</v>
      </c>
      <c r="I416" s="19">
        <f t="shared" si="9"/>
        <v>0</v>
      </c>
      <c r="J416" s="16">
        <v>1</v>
      </c>
      <c r="K416" s="20">
        <v>0</v>
      </c>
      <c r="L416" s="21"/>
      <c r="M416" s="21"/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>
        <v>16000</v>
      </c>
      <c r="T416" s="19">
        <f t="shared" si="10"/>
        <v>0</v>
      </c>
      <c r="U416" s="19">
        <f t="shared" si="11"/>
        <v>16000</v>
      </c>
      <c r="V416" s="22">
        <v>15467</v>
      </c>
      <c r="W416" s="31">
        <v>533</v>
      </c>
      <c r="X416" s="22">
        <v>0</v>
      </c>
      <c r="Y416" s="22">
        <v>0</v>
      </c>
      <c r="Z416" s="22">
        <v>0</v>
      </c>
      <c r="AA416" s="22">
        <v>0</v>
      </c>
      <c r="AB416" s="22">
        <v>0</v>
      </c>
      <c r="AC416" s="22">
        <v>0</v>
      </c>
      <c r="AD416" s="22">
        <v>0</v>
      </c>
      <c r="AE416" s="22">
        <v>0</v>
      </c>
      <c r="AF416" s="22">
        <v>2000</v>
      </c>
      <c r="AG416" s="22">
        <v>0</v>
      </c>
      <c r="AH416" s="22">
        <v>0</v>
      </c>
      <c r="AI416" s="22">
        <v>1050</v>
      </c>
      <c r="AJ416" s="22">
        <v>0</v>
      </c>
      <c r="AK416" s="22">
        <v>0</v>
      </c>
      <c r="AL416" s="22">
        <v>0</v>
      </c>
      <c r="AM416" s="22">
        <v>0</v>
      </c>
      <c r="AN416" s="22">
        <v>0</v>
      </c>
      <c r="AO416" s="22">
        <v>0</v>
      </c>
      <c r="AP416" s="22">
        <v>0</v>
      </c>
      <c r="AQ416" s="22">
        <v>0</v>
      </c>
      <c r="AR416" s="22">
        <v>0</v>
      </c>
      <c r="AS416" s="22">
        <v>0</v>
      </c>
      <c r="AT416" s="22">
        <v>0</v>
      </c>
      <c r="AU416" s="19">
        <f t="shared" si="12"/>
        <v>3050</v>
      </c>
      <c r="AV416" s="22">
        <v>12950</v>
      </c>
      <c r="AW416" s="24" t="s">
        <v>54</v>
      </c>
      <c r="AX416" s="25">
        <v>45789</v>
      </c>
      <c r="AY416" s="15"/>
      <c r="AZ416" s="26"/>
      <c r="BA416" s="27">
        <f t="shared" si="13"/>
        <v>1.8189894035458565E-12</v>
      </c>
      <c r="BB416" s="14"/>
      <c r="BC416" s="28"/>
    </row>
    <row r="417" spans="1:55" ht="28.8" x14ac:dyDescent="0.4">
      <c r="A417" s="15">
        <v>416</v>
      </c>
      <c r="B417" s="16">
        <v>80397</v>
      </c>
      <c r="C417" s="17" t="s">
        <v>621</v>
      </c>
      <c r="D417" s="16" t="s">
        <v>484</v>
      </c>
      <c r="E417" s="16" t="s">
        <v>628</v>
      </c>
      <c r="F417" s="16">
        <v>30</v>
      </c>
      <c r="G417" s="16">
        <v>30</v>
      </c>
      <c r="H417" s="18">
        <f t="shared" si="15"/>
        <v>0</v>
      </c>
      <c r="I417" s="19">
        <f t="shared" si="9"/>
        <v>0</v>
      </c>
      <c r="J417" s="16">
        <v>0</v>
      </c>
      <c r="K417" s="20">
        <v>0</v>
      </c>
      <c r="L417" s="21"/>
      <c r="M417" s="21"/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22">
        <v>16000</v>
      </c>
      <c r="T417" s="19">
        <f t="shared" si="10"/>
        <v>0</v>
      </c>
      <c r="U417" s="19">
        <f t="shared" si="11"/>
        <v>16000</v>
      </c>
      <c r="V417" s="22">
        <v>16000</v>
      </c>
      <c r="W417" s="31">
        <v>0</v>
      </c>
      <c r="X417" s="22">
        <v>0</v>
      </c>
      <c r="Y417" s="22">
        <v>0</v>
      </c>
      <c r="Z417" s="22">
        <v>0</v>
      </c>
      <c r="AA417" s="22">
        <v>0</v>
      </c>
      <c r="AB417" s="22">
        <v>0</v>
      </c>
      <c r="AC417" s="22">
        <v>0</v>
      </c>
      <c r="AD417" s="22">
        <v>0</v>
      </c>
      <c r="AE417" s="22">
        <v>0</v>
      </c>
      <c r="AF417" s="22">
        <v>3000</v>
      </c>
      <c r="AG417" s="22">
        <v>0</v>
      </c>
      <c r="AH417" s="22">
        <v>0</v>
      </c>
      <c r="AI417" s="22">
        <v>1050</v>
      </c>
      <c r="AJ417" s="22">
        <v>0</v>
      </c>
      <c r="AK417" s="22">
        <v>0</v>
      </c>
      <c r="AL417" s="22">
        <v>0</v>
      </c>
      <c r="AM417" s="22">
        <v>0</v>
      </c>
      <c r="AN417" s="22">
        <v>0</v>
      </c>
      <c r="AO417" s="22">
        <v>0</v>
      </c>
      <c r="AP417" s="22">
        <v>0</v>
      </c>
      <c r="AQ417" s="22">
        <v>0</v>
      </c>
      <c r="AR417" s="22">
        <v>0</v>
      </c>
      <c r="AS417" s="22">
        <v>0</v>
      </c>
      <c r="AT417" s="22">
        <v>0</v>
      </c>
      <c r="AU417" s="19">
        <f t="shared" si="12"/>
        <v>4050</v>
      </c>
      <c r="AV417" s="22">
        <v>11950</v>
      </c>
      <c r="AW417" s="24" t="s">
        <v>54</v>
      </c>
      <c r="AX417" s="25">
        <v>45790</v>
      </c>
      <c r="AY417" s="15"/>
      <c r="AZ417" s="26"/>
      <c r="BA417" s="27">
        <f t="shared" si="13"/>
        <v>1.8189894035458565E-12</v>
      </c>
      <c r="BB417" s="14"/>
      <c r="BC417" s="28"/>
    </row>
    <row r="418" spans="1:55" ht="28.8" x14ac:dyDescent="0.4">
      <c r="A418" s="15">
        <v>417</v>
      </c>
      <c r="B418" s="16">
        <v>80410</v>
      </c>
      <c r="C418" s="17" t="s">
        <v>621</v>
      </c>
      <c r="D418" s="16" t="s">
        <v>221</v>
      </c>
      <c r="E418" s="16" t="s">
        <v>629</v>
      </c>
      <c r="F418" s="16">
        <v>30</v>
      </c>
      <c r="G418" s="16">
        <v>11</v>
      </c>
      <c r="H418" s="18">
        <f t="shared" si="15"/>
        <v>19</v>
      </c>
      <c r="I418" s="19">
        <f t="shared" si="9"/>
        <v>10133.333333333334</v>
      </c>
      <c r="J418" s="16">
        <v>0</v>
      </c>
      <c r="K418" s="20">
        <v>0</v>
      </c>
      <c r="L418" s="21"/>
      <c r="M418" s="21"/>
      <c r="N418" s="16">
        <v>0</v>
      </c>
      <c r="O418" s="16">
        <v>0</v>
      </c>
      <c r="P418" s="16">
        <v>0</v>
      </c>
      <c r="Q418" s="16">
        <v>0</v>
      </c>
      <c r="R418" s="16">
        <v>19</v>
      </c>
      <c r="S418" s="22">
        <v>16000</v>
      </c>
      <c r="T418" s="19">
        <f t="shared" si="10"/>
        <v>0</v>
      </c>
      <c r="U418" s="19">
        <f t="shared" si="11"/>
        <v>5867</v>
      </c>
      <c r="V418" s="22">
        <v>5867</v>
      </c>
      <c r="W418" s="31">
        <v>0</v>
      </c>
      <c r="X418" s="22">
        <v>0</v>
      </c>
      <c r="Y418" s="22">
        <v>0</v>
      </c>
      <c r="Z418" s="22">
        <v>0</v>
      </c>
      <c r="AA418" s="22">
        <v>0</v>
      </c>
      <c r="AB418" s="22">
        <v>0</v>
      </c>
      <c r="AC418" s="22">
        <v>1330</v>
      </c>
      <c r="AD418" s="22">
        <v>0</v>
      </c>
      <c r="AE418" s="22">
        <v>0</v>
      </c>
      <c r="AF418" s="22">
        <v>0</v>
      </c>
      <c r="AG418" s="22">
        <v>0</v>
      </c>
      <c r="AH418" s="22">
        <v>0</v>
      </c>
      <c r="AI418" s="22">
        <v>385</v>
      </c>
      <c r="AJ418" s="22">
        <v>0</v>
      </c>
      <c r="AK418" s="22">
        <v>0</v>
      </c>
      <c r="AL418" s="22">
        <v>0</v>
      </c>
      <c r="AM418" s="22">
        <v>0</v>
      </c>
      <c r="AN418" s="22">
        <v>0</v>
      </c>
      <c r="AO418" s="22">
        <v>0</v>
      </c>
      <c r="AP418" s="22">
        <v>0</v>
      </c>
      <c r="AQ418" s="22">
        <v>0</v>
      </c>
      <c r="AR418" s="22">
        <v>0</v>
      </c>
      <c r="AS418" s="22">
        <v>0</v>
      </c>
      <c r="AT418" s="22">
        <v>0</v>
      </c>
      <c r="AU418" s="19">
        <f t="shared" si="12"/>
        <v>1715</v>
      </c>
      <c r="AV418" s="22">
        <f>3766.67+385</f>
        <v>4151.67</v>
      </c>
      <c r="AW418" s="24"/>
      <c r="AX418" s="34"/>
      <c r="AY418" s="15"/>
      <c r="AZ418" s="26"/>
      <c r="BA418" s="27">
        <f t="shared" si="13"/>
        <v>-3.333333333102928E-3</v>
      </c>
      <c r="BB418" s="14"/>
      <c r="BC418" s="28"/>
    </row>
    <row r="419" spans="1:55" ht="28.8" x14ac:dyDescent="0.4">
      <c r="A419" s="15">
        <v>418</v>
      </c>
      <c r="B419" s="16">
        <v>80434</v>
      </c>
      <c r="C419" s="17" t="s">
        <v>621</v>
      </c>
      <c r="D419" s="16" t="s">
        <v>602</v>
      </c>
      <c r="E419" s="16" t="s">
        <v>630</v>
      </c>
      <c r="F419" s="16">
        <v>30</v>
      </c>
      <c r="G419" s="16">
        <v>29</v>
      </c>
      <c r="H419" s="18">
        <f t="shared" si="15"/>
        <v>1</v>
      </c>
      <c r="I419" s="19">
        <f t="shared" si="9"/>
        <v>533.33333333333337</v>
      </c>
      <c r="J419" s="16">
        <v>0</v>
      </c>
      <c r="K419" s="20">
        <v>0</v>
      </c>
      <c r="L419" s="21"/>
      <c r="M419" s="21"/>
      <c r="N419" s="16">
        <v>0</v>
      </c>
      <c r="O419" s="16">
        <v>0</v>
      </c>
      <c r="P419" s="16">
        <v>1</v>
      </c>
      <c r="Q419" s="16">
        <v>0</v>
      </c>
      <c r="R419" s="16">
        <v>0</v>
      </c>
      <c r="S419" s="22">
        <v>16000</v>
      </c>
      <c r="T419" s="19">
        <f t="shared" si="10"/>
        <v>0</v>
      </c>
      <c r="U419" s="19">
        <f t="shared" si="11"/>
        <v>15467</v>
      </c>
      <c r="V419" s="22">
        <v>15467</v>
      </c>
      <c r="W419" s="31">
        <v>0</v>
      </c>
      <c r="X419" s="22">
        <v>0</v>
      </c>
      <c r="Y419" s="22">
        <v>0</v>
      </c>
      <c r="Z419" s="22">
        <v>0</v>
      </c>
      <c r="AA419" s="22">
        <v>0</v>
      </c>
      <c r="AB419" s="22">
        <v>0</v>
      </c>
      <c r="AC419" s="22">
        <v>5518</v>
      </c>
      <c r="AD419" s="22">
        <v>0</v>
      </c>
      <c r="AE419" s="22">
        <v>0</v>
      </c>
      <c r="AF419" s="22">
        <v>0</v>
      </c>
      <c r="AG419" s="22">
        <v>0</v>
      </c>
      <c r="AH419" s="22">
        <v>0</v>
      </c>
      <c r="AI419" s="22">
        <v>1015</v>
      </c>
      <c r="AJ419" s="22">
        <v>0</v>
      </c>
      <c r="AK419" s="22">
        <v>0</v>
      </c>
      <c r="AL419" s="22">
        <v>0</v>
      </c>
      <c r="AM419" s="22">
        <v>0</v>
      </c>
      <c r="AN419" s="22">
        <v>0</v>
      </c>
      <c r="AO419" s="22">
        <v>0</v>
      </c>
      <c r="AP419" s="22">
        <v>0</v>
      </c>
      <c r="AQ419" s="22">
        <v>0</v>
      </c>
      <c r="AR419" s="22">
        <v>0</v>
      </c>
      <c r="AS419" s="22">
        <v>0</v>
      </c>
      <c r="AT419" s="22">
        <v>0</v>
      </c>
      <c r="AU419" s="19">
        <f t="shared" si="12"/>
        <v>6533</v>
      </c>
      <c r="AV419" s="22">
        <v>8933.67</v>
      </c>
      <c r="AW419" s="24" t="s">
        <v>54</v>
      </c>
      <c r="AX419" s="25">
        <v>45790</v>
      </c>
      <c r="AY419" s="15"/>
      <c r="AZ419" s="26"/>
      <c r="BA419" s="27">
        <f t="shared" si="13"/>
        <v>-3.3333333321934333E-3</v>
      </c>
      <c r="BB419" s="14"/>
      <c r="BC419" s="28"/>
    </row>
    <row r="420" spans="1:55" ht="21" x14ac:dyDescent="0.4">
      <c r="A420" s="15">
        <v>419</v>
      </c>
      <c r="B420" s="16">
        <v>80438</v>
      </c>
      <c r="C420" s="17" t="s">
        <v>621</v>
      </c>
      <c r="D420" s="16" t="s">
        <v>229</v>
      </c>
      <c r="E420" s="16" t="s">
        <v>631</v>
      </c>
      <c r="F420" s="16">
        <v>30</v>
      </c>
      <c r="G420" s="16">
        <v>8</v>
      </c>
      <c r="H420" s="18">
        <f t="shared" si="15"/>
        <v>22</v>
      </c>
      <c r="I420" s="19">
        <f t="shared" si="9"/>
        <v>11733.333333333334</v>
      </c>
      <c r="J420" s="16">
        <v>0</v>
      </c>
      <c r="K420" s="20">
        <v>0</v>
      </c>
      <c r="L420" s="21"/>
      <c r="M420" s="21"/>
      <c r="N420" s="16">
        <v>0</v>
      </c>
      <c r="O420" s="16">
        <v>0</v>
      </c>
      <c r="P420" s="16">
        <v>0</v>
      </c>
      <c r="Q420" s="16">
        <v>0</v>
      </c>
      <c r="R420" s="16">
        <v>22</v>
      </c>
      <c r="S420" s="22">
        <v>16000</v>
      </c>
      <c r="T420" s="19">
        <f t="shared" si="10"/>
        <v>0</v>
      </c>
      <c r="U420" s="19">
        <f t="shared" si="11"/>
        <v>4267</v>
      </c>
      <c r="V420" s="22">
        <v>4267</v>
      </c>
      <c r="W420" s="31">
        <v>0</v>
      </c>
      <c r="X420" s="22">
        <v>0</v>
      </c>
      <c r="Y420" s="22">
        <v>0</v>
      </c>
      <c r="Z420" s="22">
        <v>0</v>
      </c>
      <c r="AA420" s="22">
        <v>0</v>
      </c>
      <c r="AB420" s="22">
        <v>0</v>
      </c>
      <c r="AC420" s="22">
        <v>0</v>
      </c>
      <c r="AD420" s="22">
        <v>0</v>
      </c>
      <c r="AE420" s="22">
        <v>0</v>
      </c>
      <c r="AF420" s="22">
        <v>0</v>
      </c>
      <c r="AG420" s="22">
        <v>0</v>
      </c>
      <c r="AH420" s="22">
        <v>0</v>
      </c>
      <c r="AI420" s="22">
        <v>280</v>
      </c>
      <c r="AJ420" s="22">
        <v>0</v>
      </c>
      <c r="AK420" s="22">
        <v>0</v>
      </c>
      <c r="AL420" s="22">
        <v>0</v>
      </c>
      <c r="AM420" s="22">
        <v>0</v>
      </c>
      <c r="AN420" s="22">
        <v>0</v>
      </c>
      <c r="AO420" s="22">
        <v>0</v>
      </c>
      <c r="AP420" s="22">
        <v>0</v>
      </c>
      <c r="AQ420" s="22">
        <v>0</v>
      </c>
      <c r="AR420" s="22">
        <v>0</v>
      </c>
      <c r="AS420" s="22">
        <v>0</v>
      </c>
      <c r="AT420" s="22">
        <v>0</v>
      </c>
      <c r="AU420" s="19">
        <f t="shared" si="12"/>
        <v>280</v>
      </c>
      <c r="AV420" s="22">
        <v>3986.67</v>
      </c>
      <c r="AW420" s="24"/>
      <c r="AX420" s="34"/>
      <c r="AY420" s="15"/>
      <c r="AZ420" s="26"/>
      <c r="BA420" s="27">
        <f t="shared" si="13"/>
        <v>-3.333333333102928E-3</v>
      </c>
      <c r="BB420" s="14"/>
      <c r="BC420" s="28"/>
    </row>
    <row r="421" spans="1:55" ht="28.8" x14ac:dyDescent="0.4">
      <c r="A421" s="15">
        <v>420</v>
      </c>
      <c r="B421" s="16">
        <v>80558</v>
      </c>
      <c r="C421" s="17" t="s">
        <v>621</v>
      </c>
      <c r="D421" s="16" t="s">
        <v>221</v>
      </c>
      <c r="E421" s="16" t="s">
        <v>632</v>
      </c>
      <c r="F421" s="16">
        <v>30</v>
      </c>
      <c r="G421" s="16">
        <v>9</v>
      </c>
      <c r="H421" s="18">
        <f t="shared" si="15"/>
        <v>21</v>
      </c>
      <c r="I421" s="19">
        <f t="shared" si="9"/>
        <v>11200</v>
      </c>
      <c r="J421" s="16">
        <v>0</v>
      </c>
      <c r="K421" s="20">
        <v>0</v>
      </c>
      <c r="L421" s="21"/>
      <c r="M421" s="21"/>
      <c r="N421" s="16">
        <v>0</v>
      </c>
      <c r="O421" s="16">
        <v>0</v>
      </c>
      <c r="P421" s="16">
        <v>0</v>
      </c>
      <c r="Q421" s="16">
        <v>0</v>
      </c>
      <c r="R421" s="16">
        <v>21</v>
      </c>
      <c r="S421" s="22">
        <v>16000</v>
      </c>
      <c r="T421" s="19">
        <f t="shared" si="10"/>
        <v>0</v>
      </c>
      <c r="U421" s="19">
        <f t="shared" si="11"/>
        <v>4800</v>
      </c>
      <c r="V421" s="22">
        <v>4800</v>
      </c>
      <c r="W421" s="31">
        <v>0</v>
      </c>
      <c r="X421" s="22">
        <v>0</v>
      </c>
      <c r="Y421" s="22">
        <v>0</v>
      </c>
      <c r="Z421" s="22">
        <v>0</v>
      </c>
      <c r="AA421" s="22">
        <v>0</v>
      </c>
      <c r="AB421" s="22">
        <v>0</v>
      </c>
      <c r="AC421" s="22">
        <v>0</v>
      </c>
      <c r="AD421" s="22">
        <v>0</v>
      </c>
      <c r="AE421" s="22">
        <v>0</v>
      </c>
      <c r="AF421" s="22">
        <v>0</v>
      </c>
      <c r="AG421" s="22">
        <v>0</v>
      </c>
      <c r="AH421" s="22">
        <v>0</v>
      </c>
      <c r="AI421" s="22">
        <v>315</v>
      </c>
      <c r="AJ421" s="22">
        <v>0</v>
      </c>
      <c r="AK421" s="22">
        <v>0</v>
      </c>
      <c r="AL421" s="22">
        <v>0</v>
      </c>
      <c r="AM421" s="22">
        <v>0</v>
      </c>
      <c r="AN421" s="22">
        <v>0</v>
      </c>
      <c r="AO421" s="22">
        <v>0</v>
      </c>
      <c r="AP421" s="22">
        <v>0</v>
      </c>
      <c r="AQ421" s="22">
        <v>0</v>
      </c>
      <c r="AR421" s="22">
        <v>0</v>
      </c>
      <c r="AS421" s="22">
        <v>0</v>
      </c>
      <c r="AT421" s="22">
        <v>0</v>
      </c>
      <c r="AU421" s="19">
        <f t="shared" si="12"/>
        <v>315</v>
      </c>
      <c r="AV421" s="22">
        <v>4485</v>
      </c>
      <c r="AW421" s="24"/>
      <c r="AX421" s="34"/>
      <c r="AY421" s="15"/>
      <c r="AZ421" s="26"/>
      <c r="BA421" s="27">
        <f t="shared" si="13"/>
        <v>0</v>
      </c>
      <c r="BB421" s="14"/>
      <c r="BC421" s="28"/>
    </row>
    <row r="422" spans="1:55" ht="28.8" x14ac:dyDescent="0.4">
      <c r="A422" s="15">
        <v>421</v>
      </c>
      <c r="B422" s="16">
        <v>80731</v>
      </c>
      <c r="C422" s="17" t="s">
        <v>621</v>
      </c>
      <c r="D422" s="16" t="s">
        <v>221</v>
      </c>
      <c r="E422" s="16" t="s">
        <v>633</v>
      </c>
      <c r="F422" s="16">
        <v>30</v>
      </c>
      <c r="G422" s="16">
        <v>30</v>
      </c>
      <c r="H422" s="18">
        <f t="shared" si="15"/>
        <v>0</v>
      </c>
      <c r="I422" s="19">
        <f t="shared" si="9"/>
        <v>0</v>
      </c>
      <c r="J422" s="16">
        <v>0</v>
      </c>
      <c r="K422" s="20">
        <v>0</v>
      </c>
      <c r="L422" s="21"/>
      <c r="M422" s="21"/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22">
        <v>16000</v>
      </c>
      <c r="T422" s="19">
        <f t="shared" si="10"/>
        <v>0</v>
      </c>
      <c r="U422" s="19">
        <f t="shared" si="11"/>
        <v>16000</v>
      </c>
      <c r="V422" s="22">
        <v>16000</v>
      </c>
      <c r="W422" s="31">
        <v>0</v>
      </c>
      <c r="X422" s="22">
        <v>0</v>
      </c>
      <c r="Y422" s="22">
        <v>0</v>
      </c>
      <c r="Z422" s="22">
        <v>0</v>
      </c>
      <c r="AA422" s="22">
        <v>0</v>
      </c>
      <c r="AB422" s="22">
        <v>0</v>
      </c>
      <c r="AC422" s="22">
        <v>0</v>
      </c>
      <c r="AD422" s="22">
        <v>0</v>
      </c>
      <c r="AE422" s="22">
        <v>0</v>
      </c>
      <c r="AF422" s="22">
        <v>0</v>
      </c>
      <c r="AG422" s="22">
        <v>0</v>
      </c>
      <c r="AH422" s="22">
        <v>0</v>
      </c>
      <c r="AI422" s="22">
        <v>1050</v>
      </c>
      <c r="AJ422" s="22">
        <v>0</v>
      </c>
      <c r="AK422" s="22">
        <v>0</v>
      </c>
      <c r="AL422" s="22">
        <v>0</v>
      </c>
      <c r="AM422" s="22">
        <v>0</v>
      </c>
      <c r="AN422" s="22">
        <v>0</v>
      </c>
      <c r="AO422" s="22">
        <v>0</v>
      </c>
      <c r="AP422" s="22">
        <v>0</v>
      </c>
      <c r="AQ422" s="22">
        <v>0</v>
      </c>
      <c r="AR422" s="22">
        <v>0</v>
      </c>
      <c r="AS422" s="22">
        <v>0</v>
      </c>
      <c r="AT422" s="22">
        <v>0</v>
      </c>
      <c r="AU422" s="19">
        <f t="shared" si="12"/>
        <v>1050</v>
      </c>
      <c r="AV422" s="22">
        <v>14950</v>
      </c>
      <c r="AW422" s="24" t="s">
        <v>54</v>
      </c>
      <c r="AX422" s="25">
        <v>45789</v>
      </c>
      <c r="AY422" s="15"/>
      <c r="AZ422" s="26"/>
      <c r="BA422" s="27">
        <f t="shared" si="13"/>
        <v>1.8189894035458565E-12</v>
      </c>
      <c r="BB422" s="14"/>
      <c r="BC422" s="28"/>
    </row>
    <row r="423" spans="1:55" ht="28.8" x14ac:dyDescent="0.4">
      <c r="A423" s="15">
        <v>422</v>
      </c>
      <c r="B423" s="16">
        <v>80761</v>
      </c>
      <c r="C423" s="17" t="s">
        <v>621</v>
      </c>
      <c r="D423" s="16" t="s">
        <v>221</v>
      </c>
      <c r="E423" s="16" t="s">
        <v>634</v>
      </c>
      <c r="F423" s="16">
        <v>30</v>
      </c>
      <c r="G423" s="16">
        <v>15</v>
      </c>
      <c r="H423" s="18">
        <f t="shared" si="15"/>
        <v>15</v>
      </c>
      <c r="I423" s="19">
        <f t="shared" si="9"/>
        <v>8000.0000000000009</v>
      </c>
      <c r="J423" s="16">
        <v>0</v>
      </c>
      <c r="K423" s="20">
        <v>0</v>
      </c>
      <c r="L423" s="21"/>
      <c r="M423" s="21"/>
      <c r="N423" s="16">
        <v>0</v>
      </c>
      <c r="O423" s="16">
        <v>0</v>
      </c>
      <c r="P423" s="16">
        <v>0</v>
      </c>
      <c r="Q423" s="16">
        <v>0</v>
      </c>
      <c r="R423" s="16">
        <v>15</v>
      </c>
      <c r="S423" s="22">
        <v>16000</v>
      </c>
      <c r="T423" s="19">
        <f t="shared" si="10"/>
        <v>0</v>
      </c>
      <c r="U423" s="19">
        <f t="shared" si="11"/>
        <v>8000</v>
      </c>
      <c r="V423" s="22">
        <v>8000</v>
      </c>
      <c r="W423" s="31">
        <v>0</v>
      </c>
      <c r="X423" s="22">
        <v>0</v>
      </c>
      <c r="Y423" s="22">
        <v>0</v>
      </c>
      <c r="Z423" s="22">
        <v>0</v>
      </c>
      <c r="AA423" s="22">
        <v>0</v>
      </c>
      <c r="AB423" s="22">
        <v>0</v>
      </c>
      <c r="AC423" s="22">
        <v>0</v>
      </c>
      <c r="AD423" s="22">
        <v>0</v>
      </c>
      <c r="AE423" s="22">
        <v>0</v>
      </c>
      <c r="AF423" s="22">
        <v>0</v>
      </c>
      <c r="AG423" s="22">
        <v>0</v>
      </c>
      <c r="AH423" s="22">
        <v>0</v>
      </c>
      <c r="AI423" s="22">
        <v>525</v>
      </c>
      <c r="AJ423" s="22">
        <v>0</v>
      </c>
      <c r="AK423" s="22">
        <v>0</v>
      </c>
      <c r="AL423" s="22">
        <v>0</v>
      </c>
      <c r="AM423" s="22">
        <v>0</v>
      </c>
      <c r="AN423" s="22">
        <v>0</v>
      </c>
      <c r="AO423" s="22">
        <v>0</v>
      </c>
      <c r="AP423" s="22">
        <v>0</v>
      </c>
      <c r="AQ423" s="22">
        <v>0</v>
      </c>
      <c r="AR423" s="22">
        <v>0</v>
      </c>
      <c r="AS423" s="22">
        <v>0</v>
      </c>
      <c r="AT423" s="22">
        <v>0</v>
      </c>
      <c r="AU423" s="19">
        <f t="shared" si="12"/>
        <v>525</v>
      </c>
      <c r="AV423" s="22">
        <f>7510-35</f>
        <v>7475</v>
      </c>
      <c r="AW423" s="24" t="s">
        <v>54</v>
      </c>
      <c r="AX423" s="25">
        <v>45789</v>
      </c>
      <c r="AY423" s="15"/>
      <c r="AZ423" s="26"/>
      <c r="BA423" s="27">
        <f t="shared" si="13"/>
        <v>9.0949470177292824E-13</v>
      </c>
      <c r="BB423" s="14"/>
      <c r="BC423" s="28"/>
    </row>
    <row r="424" spans="1:55" ht="28.8" x14ac:dyDescent="0.4">
      <c r="A424" s="15">
        <v>423</v>
      </c>
      <c r="B424" s="16">
        <v>80776</v>
      </c>
      <c r="C424" s="17" t="s">
        <v>621</v>
      </c>
      <c r="D424" s="16" t="s">
        <v>221</v>
      </c>
      <c r="E424" s="16" t="s">
        <v>635</v>
      </c>
      <c r="F424" s="16">
        <v>30</v>
      </c>
      <c r="G424" s="16">
        <v>12</v>
      </c>
      <c r="H424" s="18">
        <f t="shared" si="15"/>
        <v>18</v>
      </c>
      <c r="I424" s="19">
        <f t="shared" si="9"/>
        <v>9600</v>
      </c>
      <c r="J424" s="16">
        <v>0</v>
      </c>
      <c r="K424" s="20">
        <v>0</v>
      </c>
      <c r="L424" s="21"/>
      <c r="M424" s="21"/>
      <c r="N424" s="16">
        <v>0</v>
      </c>
      <c r="O424" s="16">
        <v>0</v>
      </c>
      <c r="P424" s="16">
        <v>0</v>
      </c>
      <c r="Q424" s="16">
        <v>0</v>
      </c>
      <c r="R424" s="16">
        <v>18</v>
      </c>
      <c r="S424" s="22">
        <v>16000</v>
      </c>
      <c r="T424" s="19">
        <f t="shared" si="10"/>
        <v>0</v>
      </c>
      <c r="U424" s="19">
        <f t="shared" si="11"/>
        <v>6400</v>
      </c>
      <c r="V424" s="22">
        <v>6400</v>
      </c>
      <c r="W424" s="31">
        <v>0</v>
      </c>
      <c r="X424" s="22">
        <v>0</v>
      </c>
      <c r="Y424" s="22">
        <v>0</v>
      </c>
      <c r="Z424" s="22">
        <v>0</v>
      </c>
      <c r="AA424" s="22">
        <v>0</v>
      </c>
      <c r="AB424" s="22">
        <v>0</v>
      </c>
      <c r="AC424" s="22">
        <v>0</v>
      </c>
      <c r="AD424" s="22">
        <v>0</v>
      </c>
      <c r="AE424" s="22">
        <v>0</v>
      </c>
      <c r="AF424" s="22">
        <v>0</v>
      </c>
      <c r="AG424" s="22">
        <v>0</v>
      </c>
      <c r="AH424" s="22">
        <v>0</v>
      </c>
      <c r="AI424" s="22">
        <v>420</v>
      </c>
      <c r="AJ424" s="22">
        <v>0</v>
      </c>
      <c r="AK424" s="22">
        <v>0</v>
      </c>
      <c r="AL424" s="22">
        <v>0</v>
      </c>
      <c r="AM424" s="22">
        <v>0</v>
      </c>
      <c r="AN424" s="22">
        <v>0</v>
      </c>
      <c r="AO424" s="22">
        <v>0</v>
      </c>
      <c r="AP424" s="22">
        <v>0</v>
      </c>
      <c r="AQ424" s="22">
        <v>0</v>
      </c>
      <c r="AR424" s="22">
        <v>0</v>
      </c>
      <c r="AS424" s="22">
        <v>0</v>
      </c>
      <c r="AT424" s="22">
        <v>0</v>
      </c>
      <c r="AU424" s="19">
        <f t="shared" si="12"/>
        <v>420</v>
      </c>
      <c r="AV424" s="22">
        <v>5980</v>
      </c>
      <c r="AW424" s="24" t="s">
        <v>54</v>
      </c>
      <c r="AX424" s="25">
        <v>45789</v>
      </c>
      <c r="AY424" s="15"/>
      <c r="AZ424" s="26"/>
      <c r="BA424" s="27">
        <f t="shared" si="13"/>
        <v>0</v>
      </c>
      <c r="BB424" s="14"/>
      <c r="BC424" s="28"/>
    </row>
    <row r="425" spans="1:55" ht="28.8" x14ac:dyDescent="0.4">
      <c r="A425" s="15">
        <v>424</v>
      </c>
      <c r="B425" s="16">
        <v>80798</v>
      </c>
      <c r="C425" s="17" t="s">
        <v>621</v>
      </c>
      <c r="D425" s="16" t="s">
        <v>482</v>
      </c>
      <c r="E425" s="16" t="s">
        <v>636</v>
      </c>
      <c r="F425" s="16">
        <v>30</v>
      </c>
      <c r="G425" s="16">
        <v>14</v>
      </c>
      <c r="H425" s="18">
        <f t="shared" si="15"/>
        <v>16</v>
      </c>
      <c r="I425" s="19">
        <f t="shared" si="9"/>
        <v>8533.3333333333339</v>
      </c>
      <c r="J425" s="16">
        <v>0</v>
      </c>
      <c r="K425" s="20">
        <v>0</v>
      </c>
      <c r="L425" s="21"/>
      <c r="M425" s="21"/>
      <c r="N425" s="16">
        <v>0</v>
      </c>
      <c r="O425" s="16">
        <v>0</v>
      </c>
      <c r="P425" s="16">
        <v>0</v>
      </c>
      <c r="Q425" s="16">
        <v>0</v>
      </c>
      <c r="R425" s="16">
        <v>16</v>
      </c>
      <c r="S425" s="22">
        <v>16000</v>
      </c>
      <c r="T425" s="19">
        <f t="shared" si="10"/>
        <v>0</v>
      </c>
      <c r="U425" s="19">
        <f t="shared" si="11"/>
        <v>7467</v>
      </c>
      <c r="V425" s="22">
        <v>7467</v>
      </c>
      <c r="W425" s="31">
        <v>0</v>
      </c>
      <c r="X425" s="22">
        <v>0</v>
      </c>
      <c r="Y425" s="22">
        <v>0</v>
      </c>
      <c r="Z425" s="22">
        <v>0</v>
      </c>
      <c r="AA425" s="22">
        <v>0</v>
      </c>
      <c r="AB425" s="22">
        <v>0</v>
      </c>
      <c r="AC425" s="22">
        <v>0</v>
      </c>
      <c r="AD425" s="22">
        <v>0</v>
      </c>
      <c r="AE425" s="22">
        <v>0</v>
      </c>
      <c r="AF425" s="22">
        <v>0</v>
      </c>
      <c r="AG425" s="22">
        <v>0</v>
      </c>
      <c r="AH425" s="22">
        <v>0</v>
      </c>
      <c r="AI425" s="22">
        <v>490</v>
      </c>
      <c r="AJ425" s="22">
        <v>0</v>
      </c>
      <c r="AK425" s="22">
        <v>0</v>
      </c>
      <c r="AL425" s="22">
        <v>0</v>
      </c>
      <c r="AM425" s="22">
        <v>0</v>
      </c>
      <c r="AN425" s="22">
        <v>0</v>
      </c>
      <c r="AO425" s="22">
        <v>0</v>
      </c>
      <c r="AP425" s="22">
        <v>0</v>
      </c>
      <c r="AQ425" s="22">
        <v>0</v>
      </c>
      <c r="AR425" s="22">
        <v>0</v>
      </c>
      <c r="AS425" s="22">
        <v>0</v>
      </c>
      <c r="AT425" s="22">
        <v>0</v>
      </c>
      <c r="AU425" s="19">
        <f t="shared" si="12"/>
        <v>490</v>
      </c>
      <c r="AV425" s="22">
        <v>6976.67</v>
      </c>
      <c r="AW425" s="24" t="s">
        <v>54</v>
      </c>
      <c r="AX425" s="25">
        <v>45790</v>
      </c>
      <c r="AY425" s="15"/>
      <c r="AZ425" s="26"/>
      <c r="BA425" s="27">
        <f t="shared" si="13"/>
        <v>-3.333333333102928E-3</v>
      </c>
      <c r="BB425" s="14"/>
      <c r="BC425" s="28"/>
    </row>
    <row r="426" spans="1:55" ht="28.8" x14ac:dyDescent="0.4">
      <c r="A426" s="15">
        <v>425</v>
      </c>
      <c r="B426" s="36">
        <v>27220</v>
      </c>
      <c r="C426" s="37" t="s">
        <v>637</v>
      </c>
      <c r="D426" s="36" t="s">
        <v>212</v>
      </c>
      <c r="E426" s="36" t="s">
        <v>638</v>
      </c>
      <c r="F426" s="16">
        <v>30</v>
      </c>
      <c r="G426" s="16">
        <v>29</v>
      </c>
      <c r="H426" s="18">
        <f t="shared" si="15"/>
        <v>1</v>
      </c>
      <c r="I426" s="19">
        <f t="shared" si="9"/>
        <v>533.33333333333337</v>
      </c>
      <c r="J426" s="16">
        <v>0</v>
      </c>
      <c r="K426" s="20">
        <v>0</v>
      </c>
      <c r="L426" s="21"/>
      <c r="M426" s="21"/>
      <c r="N426" s="16">
        <v>0</v>
      </c>
      <c r="O426" s="16">
        <v>0</v>
      </c>
      <c r="P426" s="16">
        <v>0</v>
      </c>
      <c r="Q426" s="16">
        <v>0</v>
      </c>
      <c r="R426" s="16">
        <v>1</v>
      </c>
      <c r="S426" s="22">
        <v>16000</v>
      </c>
      <c r="T426" s="19">
        <f t="shared" si="10"/>
        <v>0</v>
      </c>
      <c r="U426" s="19">
        <f t="shared" si="11"/>
        <v>15467</v>
      </c>
      <c r="V426" s="22">
        <v>15467</v>
      </c>
      <c r="W426" s="31">
        <v>0</v>
      </c>
      <c r="X426" s="22">
        <v>0</v>
      </c>
      <c r="Y426" s="22">
        <v>0</v>
      </c>
      <c r="Z426" s="22">
        <v>0</v>
      </c>
      <c r="AA426" s="22">
        <v>0</v>
      </c>
      <c r="AB426" s="22">
        <v>0</v>
      </c>
      <c r="AC426" s="22">
        <v>0</v>
      </c>
      <c r="AD426" s="22">
        <v>0</v>
      </c>
      <c r="AE426" s="22">
        <v>0</v>
      </c>
      <c r="AF426" s="22">
        <v>0</v>
      </c>
      <c r="AG426" s="22">
        <v>0</v>
      </c>
      <c r="AH426" s="22">
        <v>0</v>
      </c>
      <c r="AI426" s="22">
        <v>1015</v>
      </c>
      <c r="AJ426" s="22">
        <v>0</v>
      </c>
      <c r="AK426" s="22">
        <v>0</v>
      </c>
      <c r="AL426" s="22">
        <v>0</v>
      </c>
      <c r="AM426" s="22">
        <v>0</v>
      </c>
      <c r="AN426" s="22">
        <v>0</v>
      </c>
      <c r="AO426" s="22">
        <v>0</v>
      </c>
      <c r="AP426" s="22">
        <v>0</v>
      </c>
      <c r="AQ426" s="22">
        <v>0</v>
      </c>
      <c r="AR426" s="22">
        <v>0</v>
      </c>
      <c r="AS426" s="22">
        <v>0</v>
      </c>
      <c r="AT426" s="22">
        <v>0</v>
      </c>
      <c r="AU426" s="19">
        <f t="shared" si="12"/>
        <v>1015</v>
      </c>
      <c r="AV426" s="22">
        <f>15466.67-1015</f>
        <v>14451.67</v>
      </c>
      <c r="AW426" s="24" t="s">
        <v>54</v>
      </c>
      <c r="AX426" s="34"/>
      <c r="AY426" s="15"/>
      <c r="AZ426" s="26"/>
      <c r="BA426" s="27">
        <f t="shared" si="13"/>
        <v>-3.3333333321934333E-3</v>
      </c>
      <c r="BB426" s="14"/>
      <c r="BC426" s="28"/>
    </row>
    <row r="427" spans="1:55" ht="42.6" x14ac:dyDescent="0.4">
      <c r="A427" s="15">
        <v>426</v>
      </c>
      <c r="B427" s="16">
        <v>28032</v>
      </c>
      <c r="C427" s="17" t="s">
        <v>637</v>
      </c>
      <c r="D427" s="16" t="s">
        <v>280</v>
      </c>
      <c r="E427" s="16" t="s">
        <v>639</v>
      </c>
      <c r="F427" s="16">
        <v>30</v>
      </c>
      <c r="G427" s="16">
        <v>29</v>
      </c>
      <c r="H427" s="18">
        <f t="shared" si="15"/>
        <v>1</v>
      </c>
      <c r="I427" s="19">
        <f t="shared" si="9"/>
        <v>833.33333333333337</v>
      </c>
      <c r="J427" s="16">
        <v>0</v>
      </c>
      <c r="K427" s="20">
        <v>0</v>
      </c>
      <c r="L427" s="21"/>
      <c r="M427" s="21"/>
      <c r="N427" s="16">
        <v>0</v>
      </c>
      <c r="O427" s="16">
        <v>0</v>
      </c>
      <c r="P427" s="16">
        <v>1</v>
      </c>
      <c r="Q427" s="16">
        <v>0</v>
      </c>
      <c r="R427" s="16">
        <v>0</v>
      </c>
      <c r="S427" s="22">
        <v>25000</v>
      </c>
      <c r="T427" s="19">
        <f t="shared" si="10"/>
        <v>0</v>
      </c>
      <c r="U427" s="19">
        <f t="shared" si="11"/>
        <v>24167</v>
      </c>
      <c r="V427" s="22">
        <v>24167</v>
      </c>
      <c r="W427" s="31">
        <v>0</v>
      </c>
      <c r="X427" s="22">
        <v>0</v>
      </c>
      <c r="Y427" s="22">
        <v>0</v>
      </c>
      <c r="Z427" s="22">
        <v>0</v>
      </c>
      <c r="AA427" s="22">
        <v>0</v>
      </c>
      <c r="AB427" s="22">
        <v>0</v>
      </c>
      <c r="AC427" s="22">
        <v>0</v>
      </c>
      <c r="AD427" s="22">
        <v>0</v>
      </c>
      <c r="AE427" s="22">
        <v>0</v>
      </c>
      <c r="AF427" s="22">
        <v>0</v>
      </c>
      <c r="AG427" s="22">
        <v>0</v>
      </c>
      <c r="AH427" s="22">
        <v>0</v>
      </c>
      <c r="AI427" s="22">
        <v>1015</v>
      </c>
      <c r="AJ427" s="22">
        <v>0</v>
      </c>
      <c r="AK427" s="22">
        <v>0</v>
      </c>
      <c r="AL427" s="22">
        <v>0</v>
      </c>
      <c r="AM427" s="22">
        <v>0</v>
      </c>
      <c r="AN427" s="22">
        <v>0</v>
      </c>
      <c r="AO427" s="22">
        <v>0</v>
      </c>
      <c r="AP427" s="22">
        <v>0</v>
      </c>
      <c r="AQ427" s="22">
        <v>0</v>
      </c>
      <c r="AR427" s="22">
        <v>0</v>
      </c>
      <c r="AS427" s="22">
        <v>0</v>
      </c>
      <c r="AT427" s="22">
        <v>0</v>
      </c>
      <c r="AU427" s="19">
        <f t="shared" si="12"/>
        <v>1015</v>
      </c>
      <c r="AV427" s="22">
        <f>24166.67-1015</f>
        <v>23151.67</v>
      </c>
      <c r="AW427" s="24" t="s">
        <v>54</v>
      </c>
      <c r="AX427" s="25">
        <v>45790</v>
      </c>
      <c r="AY427" s="15"/>
      <c r="AZ427" s="26"/>
      <c r="BA427" s="27">
        <f t="shared" si="13"/>
        <v>-3.3333333303744439E-3</v>
      </c>
      <c r="BB427" s="14"/>
      <c r="BC427" s="28"/>
    </row>
    <row r="428" spans="1:55" ht="21" x14ac:dyDescent="0.4">
      <c r="A428" s="15">
        <v>427</v>
      </c>
      <c r="B428" s="16">
        <v>33081</v>
      </c>
      <c r="C428" s="17" t="s">
        <v>637</v>
      </c>
      <c r="D428" s="16" t="s">
        <v>280</v>
      </c>
      <c r="E428" s="16" t="s">
        <v>640</v>
      </c>
      <c r="F428" s="16">
        <v>30</v>
      </c>
      <c r="G428" s="16">
        <v>22</v>
      </c>
      <c r="H428" s="18">
        <f t="shared" si="15"/>
        <v>8</v>
      </c>
      <c r="I428" s="19">
        <f t="shared" si="9"/>
        <v>5866.666666666667</v>
      </c>
      <c r="J428" s="16">
        <v>0</v>
      </c>
      <c r="K428" s="20">
        <v>0</v>
      </c>
      <c r="L428" s="21"/>
      <c r="M428" s="21"/>
      <c r="N428" s="16">
        <v>0</v>
      </c>
      <c r="O428" s="16">
        <v>0</v>
      </c>
      <c r="P428" s="16">
        <v>2</v>
      </c>
      <c r="Q428" s="16">
        <v>0</v>
      </c>
      <c r="R428" s="16">
        <v>6</v>
      </c>
      <c r="S428" s="22">
        <v>22000</v>
      </c>
      <c r="T428" s="19">
        <f t="shared" si="10"/>
        <v>0</v>
      </c>
      <c r="U428" s="19">
        <f t="shared" si="11"/>
        <v>16133</v>
      </c>
      <c r="V428" s="22">
        <v>16133</v>
      </c>
      <c r="W428" s="31">
        <v>0</v>
      </c>
      <c r="X428" s="22">
        <v>0</v>
      </c>
      <c r="Y428" s="22">
        <v>0</v>
      </c>
      <c r="Z428" s="22">
        <v>0</v>
      </c>
      <c r="AA428" s="22">
        <v>0</v>
      </c>
      <c r="AB428" s="22">
        <v>0</v>
      </c>
      <c r="AC428" s="22">
        <f>4176-1551</f>
        <v>2625</v>
      </c>
      <c r="AD428" s="22">
        <v>0</v>
      </c>
      <c r="AE428" s="22">
        <v>0</v>
      </c>
      <c r="AF428" s="22">
        <v>0</v>
      </c>
      <c r="AG428" s="22">
        <v>0</v>
      </c>
      <c r="AH428" s="22">
        <v>0</v>
      </c>
      <c r="AI428" s="22">
        <v>770</v>
      </c>
      <c r="AJ428" s="22">
        <v>0</v>
      </c>
      <c r="AK428" s="22">
        <v>0</v>
      </c>
      <c r="AL428" s="22">
        <v>0</v>
      </c>
      <c r="AM428" s="22">
        <v>0</v>
      </c>
      <c r="AN428" s="22">
        <v>0</v>
      </c>
      <c r="AO428" s="22">
        <v>0</v>
      </c>
      <c r="AP428" s="22">
        <v>0</v>
      </c>
      <c r="AQ428" s="22">
        <v>0</v>
      </c>
      <c r="AR428" s="22">
        <v>0</v>
      </c>
      <c r="AS428" s="22">
        <v>0</v>
      </c>
      <c r="AT428" s="22">
        <v>0</v>
      </c>
      <c r="AU428" s="19">
        <f t="shared" si="12"/>
        <v>3395</v>
      </c>
      <c r="AV428" s="22">
        <v>12738</v>
      </c>
      <c r="AW428" s="24" t="s">
        <v>54</v>
      </c>
      <c r="AX428" s="25">
        <v>45793</v>
      </c>
      <c r="AY428" s="15"/>
      <c r="AZ428" s="26"/>
      <c r="BA428" s="27">
        <f t="shared" si="13"/>
        <v>0.33333333333393966</v>
      </c>
      <c r="BB428" s="14"/>
      <c r="BC428" s="28"/>
    </row>
    <row r="429" spans="1:55" ht="28.8" x14ac:dyDescent="0.4">
      <c r="A429" s="15">
        <v>428</v>
      </c>
      <c r="B429" s="16">
        <v>32031</v>
      </c>
      <c r="C429" s="17" t="s">
        <v>637</v>
      </c>
      <c r="D429" s="16" t="s">
        <v>212</v>
      </c>
      <c r="E429" s="16" t="s">
        <v>641</v>
      </c>
      <c r="F429" s="16">
        <v>30</v>
      </c>
      <c r="G429" s="16">
        <v>29</v>
      </c>
      <c r="H429" s="18">
        <f t="shared" si="15"/>
        <v>1</v>
      </c>
      <c r="I429" s="19">
        <f t="shared" si="9"/>
        <v>586.66666666666663</v>
      </c>
      <c r="J429" s="16">
        <v>0</v>
      </c>
      <c r="K429" s="20">
        <v>0</v>
      </c>
      <c r="L429" s="21"/>
      <c r="M429" s="21"/>
      <c r="N429" s="16">
        <v>1</v>
      </c>
      <c r="O429" s="16">
        <v>0</v>
      </c>
      <c r="P429" s="16">
        <v>0</v>
      </c>
      <c r="Q429" s="16">
        <v>0</v>
      </c>
      <c r="R429" s="16">
        <v>0</v>
      </c>
      <c r="S429" s="32">
        <v>17600</v>
      </c>
      <c r="T429" s="19">
        <f t="shared" si="10"/>
        <v>0</v>
      </c>
      <c r="U429" s="19">
        <f t="shared" si="11"/>
        <v>17306</v>
      </c>
      <c r="V429" s="22">
        <v>17013</v>
      </c>
      <c r="W429" s="31">
        <v>0</v>
      </c>
      <c r="X429" s="22">
        <v>293</v>
      </c>
      <c r="Y429" s="22">
        <v>0</v>
      </c>
      <c r="Z429" s="22">
        <v>0</v>
      </c>
      <c r="AA429" s="22">
        <v>0</v>
      </c>
      <c r="AB429" s="22">
        <v>0</v>
      </c>
      <c r="AC429" s="22">
        <v>2833</v>
      </c>
      <c r="AD429" s="22">
        <v>0</v>
      </c>
      <c r="AE429" s="22">
        <v>0</v>
      </c>
      <c r="AF429" s="22">
        <v>2000</v>
      </c>
      <c r="AG429" s="22">
        <v>0</v>
      </c>
      <c r="AH429" s="22">
        <v>0</v>
      </c>
      <c r="AI429" s="22">
        <v>1015</v>
      </c>
      <c r="AJ429" s="22">
        <v>0</v>
      </c>
      <c r="AK429" s="22">
        <v>0</v>
      </c>
      <c r="AL429" s="22">
        <v>0</v>
      </c>
      <c r="AM429" s="22">
        <v>0</v>
      </c>
      <c r="AN429" s="22">
        <v>0</v>
      </c>
      <c r="AO429" s="22">
        <v>0</v>
      </c>
      <c r="AP429" s="22">
        <v>0</v>
      </c>
      <c r="AQ429" s="22">
        <v>0</v>
      </c>
      <c r="AR429" s="22">
        <v>0</v>
      </c>
      <c r="AS429" s="22">
        <v>0</v>
      </c>
      <c r="AT429" s="22">
        <v>0</v>
      </c>
      <c r="AU429" s="19">
        <f t="shared" si="12"/>
        <v>5848</v>
      </c>
      <c r="AV429" s="22">
        <f>12473.67-1015</f>
        <v>11458.67</v>
      </c>
      <c r="AW429" s="24" t="s">
        <v>54</v>
      </c>
      <c r="AX429" s="25">
        <v>45789</v>
      </c>
      <c r="AY429" s="15"/>
      <c r="AZ429" s="26"/>
      <c r="BA429" s="27">
        <f t="shared" si="13"/>
        <v>-0.33666666666795209</v>
      </c>
      <c r="BB429" s="14"/>
      <c r="BC429" s="28"/>
    </row>
    <row r="430" spans="1:55" ht="28.8" x14ac:dyDescent="0.4">
      <c r="A430" s="15">
        <v>429</v>
      </c>
      <c r="B430" s="16">
        <v>33161</v>
      </c>
      <c r="C430" s="17" t="s">
        <v>637</v>
      </c>
      <c r="D430" s="16" t="s">
        <v>212</v>
      </c>
      <c r="E430" s="16" t="s">
        <v>642</v>
      </c>
      <c r="F430" s="16">
        <v>30</v>
      </c>
      <c r="G430" s="16">
        <v>29</v>
      </c>
      <c r="H430" s="18">
        <f t="shared" si="15"/>
        <v>1</v>
      </c>
      <c r="I430" s="19">
        <f t="shared" si="9"/>
        <v>666.66666666666663</v>
      </c>
      <c r="J430" s="16">
        <v>0</v>
      </c>
      <c r="K430" s="20">
        <v>0</v>
      </c>
      <c r="L430" s="21"/>
      <c r="M430" s="21"/>
      <c r="N430" s="16">
        <v>0</v>
      </c>
      <c r="O430" s="16">
        <v>0</v>
      </c>
      <c r="P430" s="16">
        <v>1</v>
      </c>
      <c r="Q430" s="16">
        <v>0</v>
      </c>
      <c r="R430" s="16">
        <v>0</v>
      </c>
      <c r="S430" s="32">
        <v>20000</v>
      </c>
      <c r="T430" s="19">
        <f t="shared" si="10"/>
        <v>0</v>
      </c>
      <c r="U430" s="19">
        <f t="shared" si="11"/>
        <v>19333</v>
      </c>
      <c r="V430" s="22">
        <v>19333</v>
      </c>
      <c r="W430" s="31">
        <v>0</v>
      </c>
      <c r="X430" s="22">
        <v>0</v>
      </c>
      <c r="Y430" s="22">
        <v>0</v>
      </c>
      <c r="Z430" s="22">
        <v>0</v>
      </c>
      <c r="AA430" s="22">
        <v>0</v>
      </c>
      <c r="AB430" s="22">
        <v>0</v>
      </c>
      <c r="AC430" s="22">
        <v>0</v>
      </c>
      <c r="AD430" s="22">
        <v>0</v>
      </c>
      <c r="AE430" s="22">
        <v>0</v>
      </c>
      <c r="AF430" s="22">
        <v>2000</v>
      </c>
      <c r="AG430" s="22">
        <v>0</v>
      </c>
      <c r="AH430" s="22">
        <v>0</v>
      </c>
      <c r="AI430" s="22">
        <v>1015</v>
      </c>
      <c r="AJ430" s="22">
        <v>0</v>
      </c>
      <c r="AK430" s="22">
        <v>0</v>
      </c>
      <c r="AL430" s="22">
        <v>0</v>
      </c>
      <c r="AM430" s="22">
        <v>0</v>
      </c>
      <c r="AN430" s="22">
        <v>0</v>
      </c>
      <c r="AO430" s="22">
        <v>0</v>
      </c>
      <c r="AP430" s="22">
        <v>0</v>
      </c>
      <c r="AQ430" s="22">
        <v>0</v>
      </c>
      <c r="AR430" s="22">
        <v>0</v>
      </c>
      <c r="AS430" s="22">
        <v>0</v>
      </c>
      <c r="AT430" s="22">
        <v>0</v>
      </c>
      <c r="AU430" s="19">
        <f t="shared" si="12"/>
        <v>3015</v>
      </c>
      <c r="AV430" s="22">
        <f>17333.33-1015</f>
        <v>16318.330000000002</v>
      </c>
      <c r="AW430" s="24" t="s">
        <v>54</v>
      </c>
      <c r="AX430" s="25">
        <v>45792</v>
      </c>
      <c r="AY430" s="15"/>
      <c r="AZ430" s="26"/>
      <c r="BA430" s="27">
        <f t="shared" si="13"/>
        <v>3.3333333303744439E-3</v>
      </c>
      <c r="BB430" s="14"/>
      <c r="BC430" s="28"/>
    </row>
    <row r="431" spans="1:55" ht="28.8" x14ac:dyDescent="0.4">
      <c r="A431" s="15">
        <v>430</v>
      </c>
      <c r="B431" s="16">
        <v>30224</v>
      </c>
      <c r="C431" s="17" t="s">
        <v>637</v>
      </c>
      <c r="D431" s="16" t="s">
        <v>280</v>
      </c>
      <c r="E431" s="16" t="s">
        <v>643</v>
      </c>
      <c r="F431" s="16">
        <v>30</v>
      </c>
      <c r="G431" s="16">
        <v>29</v>
      </c>
      <c r="H431" s="18">
        <f t="shared" si="15"/>
        <v>1</v>
      </c>
      <c r="I431" s="19">
        <f t="shared" si="9"/>
        <v>766.66666666666663</v>
      </c>
      <c r="J431" s="16">
        <v>0</v>
      </c>
      <c r="K431" s="20">
        <v>0</v>
      </c>
      <c r="L431" s="21"/>
      <c r="M431" s="21"/>
      <c r="N431" s="16">
        <v>1</v>
      </c>
      <c r="O431" s="16">
        <v>0</v>
      </c>
      <c r="P431" s="16">
        <v>0</v>
      </c>
      <c r="Q431" s="16">
        <v>0</v>
      </c>
      <c r="R431" s="16">
        <v>0</v>
      </c>
      <c r="S431" s="32">
        <v>23000</v>
      </c>
      <c r="T431" s="19">
        <f t="shared" si="10"/>
        <v>0</v>
      </c>
      <c r="U431" s="19">
        <f t="shared" si="11"/>
        <v>22616</v>
      </c>
      <c r="V431" s="22">
        <v>22233</v>
      </c>
      <c r="W431" s="31">
        <v>0</v>
      </c>
      <c r="X431" s="22">
        <v>383</v>
      </c>
      <c r="Y431" s="22">
        <v>0</v>
      </c>
      <c r="Z431" s="22">
        <v>0</v>
      </c>
      <c r="AA431" s="22">
        <v>0</v>
      </c>
      <c r="AB431" s="22">
        <v>0</v>
      </c>
      <c r="AC431" s="22">
        <v>0</v>
      </c>
      <c r="AD431" s="22">
        <v>0</v>
      </c>
      <c r="AE431" s="22">
        <v>0</v>
      </c>
      <c r="AF431" s="22">
        <v>3000</v>
      </c>
      <c r="AG431" s="22">
        <v>0</v>
      </c>
      <c r="AH431" s="22">
        <v>0</v>
      </c>
      <c r="AI431" s="22">
        <v>1015</v>
      </c>
      <c r="AJ431" s="22">
        <v>0</v>
      </c>
      <c r="AK431" s="22">
        <v>0</v>
      </c>
      <c r="AL431" s="22">
        <v>0</v>
      </c>
      <c r="AM431" s="22">
        <v>0</v>
      </c>
      <c r="AN431" s="22">
        <v>0</v>
      </c>
      <c r="AO431" s="22">
        <v>0</v>
      </c>
      <c r="AP431" s="22">
        <v>0</v>
      </c>
      <c r="AQ431" s="22">
        <v>0</v>
      </c>
      <c r="AR431" s="22">
        <v>0</v>
      </c>
      <c r="AS431" s="22">
        <v>0</v>
      </c>
      <c r="AT431" s="22">
        <v>0</v>
      </c>
      <c r="AU431" s="19">
        <f t="shared" si="12"/>
        <v>4015</v>
      </c>
      <c r="AV431" s="22">
        <f>19616.67-1015</f>
        <v>18601.669999999998</v>
      </c>
      <c r="AW431" s="24" t="s">
        <v>54</v>
      </c>
      <c r="AX431" s="25">
        <v>45790</v>
      </c>
      <c r="AY431" s="15"/>
      <c r="AZ431" s="26"/>
      <c r="BA431" s="27">
        <f t="shared" si="13"/>
        <v>-0.3366666666661331</v>
      </c>
      <c r="BB431" s="14"/>
      <c r="BC431" s="28"/>
    </row>
    <row r="432" spans="1:55" ht="28.8" x14ac:dyDescent="0.4">
      <c r="A432" s="15">
        <v>431</v>
      </c>
      <c r="B432" s="16">
        <v>30229</v>
      </c>
      <c r="C432" s="17" t="s">
        <v>637</v>
      </c>
      <c r="D432" s="16" t="s">
        <v>280</v>
      </c>
      <c r="E432" s="16" t="s">
        <v>644</v>
      </c>
      <c r="F432" s="16">
        <v>30</v>
      </c>
      <c r="G432" s="16">
        <v>30</v>
      </c>
      <c r="H432" s="18">
        <f t="shared" si="15"/>
        <v>0</v>
      </c>
      <c r="I432" s="19">
        <f t="shared" si="9"/>
        <v>0</v>
      </c>
      <c r="J432" s="16">
        <v>0</v>
      </c>
      <c r="K432" s="20">
        <v>0</v>
      </c>
      <c r="L432" s="21"/>
      <c r="M432" s="21"/>
      <c r="N432" s="16">
        <v>0</v>
      </c>
      <c r="O432" s="16">
        <v>0</v>
      </c>
      <c r="P432" s="16">
        <v>0</v>
      </c>
      <c r="Q432" s="16">
        <v>0</v>
      </c>
      <c r="R432" s="16">
        <v>0</v>
      </c>
      <c r="S432" s="32">
        <v>25000</v>
      </c>
      <c r="T432" s="19">
        <f t="shared" si="10"/>
        <v>0</v>
      </c>
      <c r="U432" s="19">
        <f t="shared" si="11"/>
        <v>25000</v>
      </c>
      <c r="V432" s="22">
        <v>25000</v>
      </c>
      <c r="W432" s="31">
        <v>0</v>
      </c>
      <c r="X432" s="22">
        <v>0</v>
      </c>
      <c r="Y432" s="22">
        <v>0</v>
      </c>
      <c r="Z432" s="22">
        <v>0</v>
      </c>
      <c r="AA432" s="22">
        <v>0</v>
      </c>
      <c r="AB432" s="22">
        <v>0</v>
      </c>
      <c r="AC432" s="22">
        <v>0</v>
      </c>
      <c r="AD432" s="22">
        <v>0</v>
      </c>
      <c r="AE432" s="22">
        <v>0</v>
      </c>
      <c r="AF432" s="22">
        <v>0</v>
      </c>
      <c r="AG432" s="22">
        <v>0</v>
      </c>
      <c r="AH432" s="22">
        <v>0</v>
      </c>
      <c r="AI432" s="22">
        <v>1050</v>
      </c>
      <c r="AJ432" s="22">
        <v>0</v>
      </c>
      <c r="AK432" s="22">
        <v>0</v>
      </c>
      <c r="AL432" s="22">
        <v>0</v>
      </c>
      <c r="AM432" s="22">
        <v>0</v>
      </c>
      <c r="AN432" s="22">
        <v>0</v>
      </c>
      <c r="AO432" s="22">
        <v>0</v>
      </c>
      <c r="AP432" s="22">
        <v>0</v>
      </c>
      <c r="AQ432" s="22">
        <v>0</v>
      </c>
      <c r="AR432" s="22">
        <v>0</v>
      </c>
      <c r="AS432" s="22">
        <v>0</v>
      </c>
      <c r="AT432" s="22">
        <v>0</v>
      </c>
      <c r="AU432" s="19">
        <f t="shared" si="12"/>
        <v>1050</v>
      </c>
      <c r="AV432" s="22">
        <f>23914+1086-1050</f>
        <v>23950</v>
      </c>
      <c r="AW432" s="24" t="s">
        <v>54</v>
      </c>
      <c r="AX432" s="25">
        <v>45789</v>
      </c>
      <c r="AY432" s="15"/>
      <c r="AZ432" s="26"/>
      <c r="BA432" s="27">
        <f t="shared" si="13"/>
        <v>0</v>
      </c>
      <c r="BB432" s="14"/>
      <c r="BC432" s="28"/>
    </row>
    <row r="433" spans="1:55" ht="28.8" x14ac:dyDescent="0.4">
      <c r="A433" s="15">
        <v>432</v>
      </c>
      <c r="B433" s="16">
        <v>80360</v>
      </c>
      <c r="C433" s="17" t="s">
        <v>637</v>
      </c>
      <c r="D433" s="16" t="s">
        <v>280</v>
      </c>
      <c r="E433" s="16" t="s">
        <v>645</v>
      </c>
      <c r="F433" s="16">
        <v>30</v>
      </c>
      <c r="G433" s="16">
        <v>28</v>
      </c>
      <c r="H433" s="18">
        <f t="shared" si="15"/>
        <v>2</v>
      </c>
      <c r="I433" s="19">
        <f t="shared" si="9"/>
        <v>1666.6666666666667</v>
      </c>
      <c r="J433" s="16">
        <v>4</v>
      </c>
      <c r="K433" s="20">
        <v>2</v>
      </c>
      <c r="L433" s="21"/>
      <c r="M433" s="21"/>
      <c r="N433" s="16">
        <v>0</v>
      </c>
      <c r="O433" s="16">
        <v>0</v>
      </c>
      <c r="P433" s="16">
        <v>2</v>
      </c>
      <c r="Q433" s="16">
        <v>0</v>
      </c>
      <c r="R433" s="16">
        <v>0</v>
      </c>
      <c r="S433" s="22">
        <v>25000</v>
      </c>
      <c r="T433" s="19">
        <f t="shared" si="10"/>
        <v>1666.6666666666667</v>
      </c>
      <c r="U433" s="19">
        <f t="shared" si="11"/>
        <v>21667</v>
      </c>
      <c r="V433" s="22">
        <v>20000</v>
      </c>
      <c r="W433" s="31">
        <v>1667</v>
      </c>
      <c r="X433" s="22">
        <v>0</v>
      </c>
      <c r="Y433" s="22">
        <v>0</v>
      </c>
      <c r="Z433" s="22">
        <v>0</v>
      </c>
      <c r="AA433" s="22">
        <v>0</v>
      </c>
      <c r="AB433" s="22">
        <v>0</v>
      </c>
      <c r="AC433" s="22">
        <v>0</v>
      </c>
      <c r="AD433" s="22">
        <v>0</v>
      </c>
      <c r="AE433" s="22">
        <v>0</v>
      </c>
      <c r="AF433" s="22">
        <v>3000</v>
      </c>
      <c r="AG433" s="22">
        <v>0</v>
      </c>
      <c r="AH433" s="22">
        <v>0</v>
      </c>
      <c r="AI433" s="22">
        <v>980</v>
      </c>
      <c r="AJ433" s="22">
        <v>0</v>
      </c>
      <c r="AK433" s="22">
        <v>0</v>
      </c>
      <c r="AL433" s="22">
        <v>0</v>
      </c>
      <c r="AM433" s="22">
        <v>0</v>
      </c>
      <c r="AN433" s="22">
        <v>0</v>
      </c>
      <c r="AO433" s="22">
        <v>0</v>
      </c>
      <c r="AP433" s="22">
        <v>0</v>
      </c>
      <c r="AQ433" s="22">
        <v>0</v>
      </c>
      <c r="AR433" s="22">
        <v>0</v>
      </c>
      <c r="AS433" s="22">
        <v>0</v>
      </c>
      <c r="AT433" s="22">
        <v>0</v>
      </c>
      <c r="AU433" s="19">
        <f t="shared" si="12"/>
        <v>3980</v>
      </c>
      <c r="AV433" s="22">
        <f>18666.67-980</f>
        <v>17686.669999999998</v>
      </c>
      <c r="AW433" s="24" t="s">
        <v>54</v>
      </c>
      <c r="AX433" s="25">
        <v>45789</v>
      </c>
      <c r="AY433" s="15"/>
      <c r="AZ433" s="26"/>
      <c r="BA433" s="27">
        <f t="shared" si="13"/>
        <v>-3.3333333303744439E-3</v>
      </c>
      <c r="BB433" s="14"/>
      <c r="BC433" s="28"/>
    </row>
    <row r="434" spans="1:55" ht="28.8" x14ac:dyDescent="0.4">
      <c r="A434" s="15">
        <v>433</v>
      </c>
      <c r="B434" s="16">
        <v>80489</v>
      </c>
      <c r="C434" s="17" t="s">
        <v>637</v>
      </c>
      <c r="D434" s="16" t="s">
        <v>602</v>
      </c>
      <c r="E434" s="16" t="s">
        <v>646</v>
      </c>
      <c r="F434" s="16">
        <v>30</v>
      </c>
      <c r="G434" s="16">
        <v>30</v>
      </c>
      <c r="H434" s="18">
        <f t="shared" si="15"/>
        <v>0</v>
      </c>
      <c r="I434" s="19">
        <f t="shared" si="9"/>
        <v>0</v>
      </c>
      <c r="J434" s="16">
        <v>0</v>
      </c>
      <c r="K434" s="20">
        <v>0</v>
      </c>
      <c r="L434" s="21"/>
      <c r="M434" s="21"/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>
        <v>16000</v>
      </c>
      <c r="T434" s="19">
        <f t="shared" si="10"/>
        <v>0</v>
      </c>
      <c r="U434" s="19">
        <f t="shared" si="11"/>
        <v>16000</v>
      </c>
      <c r="V434" s="22">
        <v>16000</v>
      </c>
      <c r="W434" s="31">
        <v>0</v>
      </c>
      <c r="X434" s="22">
        <v>0</v>
      </c>
      <c r="Y434" s="22">
        <v>0</v>
      </c>
      <c r="Z434" s="22">
        <v>0</v>
      </c>
      <c r="AA434" s="22">
        <v>0</v>
      </c>
      <c r="AB434" s="22">
        <v>0</v>
      </c>
      <c r="AC434" s="22">
        <v>0</v>
      </c>
      <c r="AD434" s="22">
        <v>0</v>
      </c>
      <c r="AE434" s="22">
        <v>0</v>
      </c>
      <c r="AF434" s="22">
        <v>0</v>
      </c>
      <c r="AG434" s="22">
        <v>0</v>
      </c>
      <c r="AH434" s="22">
        <v>0</v>
      </c>
      <c r="AI434" s="22">
        <v>1050</v>
      </c>
      <c r="AJ434" s="22">
        <v>0</v>
      </c>
      <c r="AK434" s="22">
        <v>0</v>
      </c>
      <c r="AL434" s="22">
        <v>0</v>
      </c>
      <c r="AM434" s="22">
        <v>0</v>
      </c>
      <c r="AN434" s="22">
        <v>0</v>
      </c>
      <c r="AO434" s="22">
        <v>0</v>
      </c>
      <c r="AP434" s="22">
        <v>0</v>
      </c>
      <c r="AQ434" s="22">
        <v>0</v>
      </c>
      <c r="AR434" s="22">
        <v>0</v>
      </c>
      <c r="AS434" s="22">
        <v>0</v>
      </c>
      <c r="AT434" s="22">
        <v>0</v>
      </c>
      <c r="AU434" s="19">
        <f t="shared" si="12"/>
        <v>1050</v>
      </c>
      <c r="AV434" s="22">
        <f>16000-1050</f>
        <v>14950</v>
      </c>
      <c r="AW434" s="24" t="s">
        <v>54</v>
      </c>
      <c r="AX434" s="25">
        <v>45789</v>
      </c>
      <c r="AY434" s="15"/>
      <c r="AZ434" s="26"/>
      <c r="BA434" s="27">
        <f t="shared" si="13"/>
        <v>1.8189894035458565E-12</v>
      </c>
      <c r="BB434" s="14"/>
      <c r="BC434" s="28"/>
    </row>
    <row r="435" spans="1:55" ht="21" x14ac:dyDescent="0.4">
      <c r="A435" s="15">
        <v>434</v>
      </c>
      <c r="B435" s="16">
        <v>80564</v>
      </c>
      <c r="C435" s="17" t="s">
        <v>637</v>
      </c>
      <c r="D435" s="16" t="s">
        <v>221</v>
      </c>
      <c r="E435" s="16" t="s">
        <v>647</v>
      </c>
      <c r="F435" s="16">
        <v>30</v>
      </c>
      <c r="G435" s="16">
        <v>30</v>
      </c>
      <c r="H435" s="18">
        <f t="shared" si="15"/>
        <v>0</v>
      </c>
      <c r="I435" s="19">
        <f t="shared" si="9"/>
        <v>0</v>
      </c>
      <c r="J435" s="16">
        <v>0</v>
      </c>
      <c r="K435" s="20">
        <v>0</v>
      </c>
      <c r="L435" s="21"/>
      <c r="M435" s="21"/>
      <c r="N435" s="16">
        <v>0</v>
      </c>
      <c r="O435" s="16">
        <v>0</v>
      </c>
      <c r="P435" s="16">
        <v>0</v>
      </c>
      <c r="Q435" s="16">
        <v>0</v>
      </c>
      <c r="R435" s="16">
        <v>0</v>
      </c>
      <c r="S435" s="22">
        <v>16000</v>
      </c>
      <c r="T435" s="19">
        <f t="shared" si="10"/>
        <v>0</v>
      </c>
      <c r="U435" s="19">
        <f t="shared" si="11"/>
        <v>16000</v>
      </c>
      <c r="V435" s="22">
        <v>16000</v>
      </c>
      <c r="W435" s="31">
        <v>0</v>
      </c>
      <c r="X435" s="22">
        <v>0</v>
      </c>
      <c r="Y435" s="22">
        <v>0</v>
      </c>
      <c r="Z435" s="22">
        <v>0</v>
      </c>
      <c r="AA435" s="22">
        <v>0</v>
      </c>
      <c r="AB435" s="22">
        <v>0</v>
      </c>
      <c r="AC435" s="22">
        <v>0</v>
      </c>
      <c r="AD435" s="22">
        <v>0</v>
      </c>
      <c r="AE435" s="22">
        <v>0</v>
      </c>
      <c r="AF435" s="22">
        <v>2000</v>
      </c>
      <c r="AG435" s="22">
        <v>0</v>
      </c>
      <c r="AH435" s="22">
        <v>0</v>
      </c>
      <c r="AI435" s="22">
        <v>1050</v>
      </c>
      <c r="AJ435" s="22">
        <v>0</v>
      </c>
      <c r="AK435" s="22">
        <v>0</v>
      </c>
      <c r="AL435" s="22">
        <v>0</v>
      </c>
      <c r="AM435" s="22">
        <v>0</v>
      </c>
      <c r="AN435" s="22">
        <v>0</v>
      </c>
      <c r="AO435" s="22">
        <v>0</v>
      </c>
      <c r="AP435" s="22">
        <v>0</v>
      </c>
      <c r="AQ435" s="22">
        <v>0</v>
      </c>
      <c r="AR435" s="22">
        <v>0</v>
      </c>
      <c r="AS435" s="22">
        <v>0</v>
      </c>
      <c r="AT435" s="22">
        <v>0</v>
      </c>
      <c r="AU435" s="19">
        <f t="shared" si="12"/>
        <v>3050</v>
      </c>
      <c r="AV435" s="22">
        <f>14000-1050</f>
        <v>12950</v>
      </c>
      <c r="AW435" s="24" t="s">
        <v>54</v>
      </c>
      <c r="AX435" s="25">
        <v>45789</v>
      </c>
      <c r="AY435" s="15"/>
      <c r="AZ435" s="26"/>
      <c r="BA435" s="27">
        <f t="shared" si="13"/>
        <v>1.8189894035458565E-12</v>
      </c>
      <c r="BB435" s="14"/>
      <c r="BC435" s="28"/>
    </row>
    <row r="436" spans="1:55" ht="28.8" x14ac:dyDescent="0.4">
      <c r="A436" s="15">
        <v>435</v>
      </c>
      <c r="B436" s="16">
        <v>80615</v>
      </c>
      <c r="C436" s="17" t="s">
        <v>637</v>
      </c>
      <c r="D436" s="16" t="s">
        <v>602</v>
      </c>
      <c r="E436" s="16" t="s">
        <v>648</v>
      </c>
      <c r="F436" s="16">
        <v>30</v>
      </c>
      <c r="G436" s="16">
        <v>30</v>
      </c>
      <c r="H436" s="18">
        <f t="shared" si="15"/>
        <v>0</v>
      </c>
      <c r="I436" s="19">
        <f t="shared" si="9"/>
        <v>0</v>
      </c>
      <c r="J436" s="16">
        <v>0</v>
      </c>
      <c r="K436" s="20">
        <v>0</v>
      </c>
      <c r="L436" s="21"/>
      <c r="M436" s="21"/>
      <c r="N436" s="16">
        <v>0</v>
      </c>
      <c r="O436" s="16">
        <v>0</v>
      </c>
      <c r="P436" s="16">
        <v>0</v>
      </c>
      <c r="Q436" s="16">
        <v>0</v>
      </c>
      <c r="R436" s="16">
        <v>0</v>
      </c>
      <c r="S436" s="22">
        <v>16000</v>
      </c>
      <c r="T436" s="19">
        <f t="shared" si="10"/>
        <v>0</v>
      </c>
      <c r="U436" s="19">
        <f t="shared" si="11"/>
        <v>16000</v>
      </c>
      <c r="V436" s="22">
        <v>16000</v>
      </c>
      <c r="W436" s="31">
        <v>0</v>
      </c>
      <c r="X436" s="22">
        <v>0</v>
      </c>
      <c r="Y436" s="22">
        <v>0</v>
      </c>
      <c r="Z436" s="22">
        <v>0</v>
      </c>
      <c r="AA436" s="22">
        <v>0</v>
      </c>
      <c r="AB436" s="22">
        <v>0</v>
      </c>
      <c r="AC436" s="22">
        <v>0</v>
      </c>
      <c r="AD436" s="22">
        <v>0</v>
      </c>
      <c r="AE436" s="22">
        <v>0</v>
      </c>
      <c r="AF436" s="22">
        <v>0</v>
      </c>
      <c r="AG436" s="22">
        <v>0</v>
      </c>
      <c r="AH436" s="22">
        <v>0</v>
      </c>
      <c r="AI436" s="22">
        <v>1050</v>
      </c>
      <c r="AJ436" s="22">
        <v>0</v>
      </c>
      <c r="AK436" s="22">
        <v>0</v>
      </c>
      <c r="AL436" s="22">
        <v>0</v>
      </c>
      <c r="AM436" s="22">
        <v>0</v>
      </c>
      <c r="AN436" s="22">
        <v>0</v>
      </c>
      <c r="AO436" s="22">
        <v>0</v>
      </c>
      <c r="AP436" s="22">
        <v>0</v>
      </c>
      <c r="AQ436" s="22">
        <v>0</v>
      </c>
      <c r="AR436" s="22">
        <v>0</v>
      </c>
      <c r="AS436" s="22">
        <v>0</v>
      </c>
      <c r="AT436" s="22">
        <v>0</v>
      </c>
      <c r="AU436" s="19">
        <f t="shared" si="12"/>
        <v>1050</v>
      </c>
      <c r="AV436" s="22">
        <f>16000-1050</f>
        <v>14950</v>
      </c>
      <c r="AW436" s="24" t="s">
        <v>54</v>
      </c>
      <c r="AX436" s="25">
        <v>45788</v>
      </c>
      <c r="AY436" s="15"/>
      <c r="AZ436" s="26"/>
      <c r="BA436" s="27">
        <f t="shared" si="13"/>
        <v>1.8189894035458565E-12</v>
      </c>
      <c r="BB436" s="14"/>
      <c r="BC436" s="28"/>
    </row>
    <row r="437" spans="1:55" ht="28.8" x14ac:dyDescent="0.4">
      <c r="A437" s="15">
        <v>436</v>
      </c>
      <c r="B437" s="16">
        <v>80777</v>
      </c>
      <c r="C437" s="17" t="s">
        <v>637</v>
      </c>
      <c r="D437" s="16" t="s">
        <v>602</v>
      </c>
      <c r="E437" s="16" t="s">
        <v>88</v>
      </c>
      <c r="F437" s="16">
        <v>30</v>
      </c>
      <c r="G437" s="16">
        <v>13</v>
      </c>
      <c r="H437" s="18">
        <f t="shared" si="15"/>
        <v>17</v>
      </c>
      <c r="I437" s="19">
        <f t="shared" si="9"/>
        <v>9066.6666666666679</v>
      </c>
      <c r="J437" s="16">
        <v>0</v>
      </c>
      <c r="K437" s="20">
        <v>0</v>
      </c>
      <c r="L437" s="21"/>
      <c r="M437" s="21"/>
      <c r="N437" s="16">
        <v>0</v>
      </c>
      <c r="O437" s="16">
        <v>0</v>
      </c>
      <c r="P437" s="16">
        <v>0</v>
      </c>
      <c r="Q437" s="16">
        <v>0</v>
      </c>
      <c r="R437" s="16">
        <v>17</v>
      </c>
      <c r="S437" s="22">
        <v>16000</v>
      </c>
      <c r="T437" s="19">
        <f t="shared" si="10"/>
        <v>0</v>
      </c>
      <c r="U437" s="19">
        <f t="shared" si="11"/>
        <v>6933</v>
      </c>
      <c r="V437" s="22">
        <v>6933</v>
      </c>
      <c r="W437" s="31">
        <v>0</v>
      </c>
      <c r="X437" s="22">
        <v>0</v>
      </c>
      <c r="Y437" s="22">
        <v>0</v>
      </c>
      <c r="Z437" s="22">
        <v>0</v>
      </c>
      <c r="AA437" s="22">
        <v>0</v>
      </c>
      <c r="AB437" s="22">
        <v>0</v>
      </c>
      <c r="AC437" s="22">
        <v>0</v>
      </c>
      <c r="AD437" s="22">
        <v>0</v>
      </c>
      <c r="AE437" s="22">
        <v>0</v>
      </c>
      <c r="AF437" s="22">
        <v>0</v>
      </c>
      <c r="AG437" s="22">
        <v>0</v>
      </c>
      <c r="AH437" s="22">
        <v>0</v>
      </c>
      <c r="AI437" s="22">
        <v>455</v>
      </c>
      <c r="AJ437" s="22">
        <v>0</v>
      </c>
      <c r="AK437" s="22">
        <v>0</v>
      </c>
      <c r="AL437" s="22">
        <v>0</v>
      </c>
      <c r="AM437" s="22">
        <v>0</v>
      </c>
      <c r="AN437" s="22">
        <v>0</v>
      </c>
      <c r="AO437" s="22">
        <v>0</v>
      </c>
      <c r="AP437" s="22">
        <v>0</v>
      </c>
      <c r="AQ437" s="22">
        <v>0</v>
      </c>
      <c r="AR437" s="22">
        <v>0</v>
      </c>
      <c r="AS437" s="22">
        <v>0</v>
      </c>
      <c r="AT437" s="22">
        <v>0</v>
      </c>
      <c r="AU437" s="19">
        <f t="shared" si="12"/>
        <v>455</v>
      </c>
      <c r="AV437" s="22">
        <f>6933.33-455</f>
        <v>6478.33</v>
      </c>
      <c r="AW437" s="24" t="s">
        <v>54</v>
      </c>
      <c r="AX437" s="25">
        <v>45789</v>
      </c>
      <c r="AY437" s="15"/>
      <c r="AZ437" s="26"/>
      <c r="BA437" s="27">
        <f t="shared" si="13"/>
        <v>3.3333333340124227E-3</v>
      </c>
      <c r="BB437" s="14"/>
      <c r="BC437" s="28"/>
    </row>
    <row r="438" spans="1:55" ht="28.8" x14ac:dyDescent="0.4">
      <c r="A438" s="15">
        <v>437</v>
      </c>
      <c r="B438" s="16">
        <v>24004</v>
      </c>
      <c r="C438" s="17" t="s">
        <v>649</v>
      </c>
      <c r="D438" s="16" t="s">
        <v>650</v>
      </c>
      <c r="E438" s="16" t="s">
        <v>651</v>
      </c>
      <c r="F438" s="16">
        <v>30</v>
      </c>
      <c r="G438" s="16">
        <v>30</v>
      </c>
      <c r="H438" s="18">
        <f t="shared" si="15"/>
        <v>0</v>
      </c>
      <c r="I438" s="19">
        <f t="shared" si="9"/>
        <v>0</v>
      </c>
      <c r="J438" s="16">
        <v>1</v>
      </c>
      <c r="K438" s="20">
        <v>0</v>
      </c>
      <c r="L438" s="21"/>
      <c r="M438" s="21"/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32">
        <v>30000</v>
      </c>
      <c r="T438" s="19">
        <f t="shared" si="10"/>
        <v>0</v>
      </c>
      <c r="U438" s="19">
        <f t="shared" si="11"/>
        <v>30000</v>
      </c>
      <c r="V438" s="22">
        <v>29000</v>
      </c>
      <c r="W438" s="31">
        <v>1000</v>
      </c>
      <c r="X438" s="22">
        <v>0</v>
      </c>
      <c r="Y438" s="22">
        <v>0</v>
      </c>
      <c r="Z438" s="22">
        <v>0</v>
      </c>
      <c r="AA438" s="22">
        <v>0</v>
      </c>
      <c r="AB438" s="22">
        <v>0</v>
      </c>
      <c r="AC438" s="22">
        <v>0</v>
      </c>
      <c r="AD438" s="22">
        <v>0</v>
      </c>
      <c r="AE438" s="22">
        <v>0</v>
      </c>
      <c r="AF438" s="22">
        <v>5000</v>
      </c>
      <c r="AG438" s="22">
        <v>0</v>
      </c>
      <c r="AH438" s="22">
        <v>0</v>
      </c>
      <c r="AI438" s="22">
        <v>0</v>
      </c>
      <c r="AJ438" s="22">
        <v>0</v>
      </c>
      <c r="AK438" s="22">
        <v>0</v>
      </c>
      <c r="AL438" s="22">
        <v>0</v>
      </c>
      <c r="AM438" s="22">
        <v>0</v>
      </c>
      <c r="AN438" s="22">
        <v>0</v>
      </c>
      <c r="AO438" s="22">
        <v>0</v>
      </c>
      <c r="AP438" s="22">
        <v>0</v>
      </c>
      <c r="AQ438" s="22">
        <v>0</v>
      </c>
      <c r="AR438" s="22">
        <v>0</v>
      </c>
      <c r="AS438" s="22">
        <v>0</v>
      </c>
      <c r="AT438" s="22">
        <v>0</v>
      </c>
      <c r="AU438" s="19">
        <f t="shared" si="12"/>
        <v>5000</v>
      </c>
      <c r="AV438" s="22">
        <v>25000</v>
      </c>
      <c r="AW438" s="24" t="s">
        <v>54</v>
      </c>
      <c r="AX438" s="25">
        <v>45789</v>
      </c>
      <c r="AY438" s="15"/>
      <c r="AZ438" s="26"/>
      <c r="BA438" s="27">
        <f t="shared" si="13"/>
        <v>0</v>
      </c>
      <c r="BB438" s="14"/>
      <c r="BC438" s="28"/>
    </row>
    <row r="439" spans="1:55" ht="28.8" x14ac:dyDescent="0.4">
      <c r="A439" s="15">
        <v>438</v>
      </c>
      <c r="B439" s="16">
        <v>24006</v>
      </c>
      <c r="C439" s="17" t="s">
        <v>649</v>
      </c>
      <c r="D439" s="16" t="s">
        <v>652</v>
      </c>
      <c r="E439" s="16" t="s">
        <v>653</v>
      </c>
      <c r="F439" s="16">
        <v>30</v>
      </c>
      <c r="G439" s="16">
        <v>30</v>
      </c>
      <c r="H439" s="18">
        <f t="shared" si="15"/>
        <v>0</v>
      </c>
      <c r="I439" s="19">
        <f t="shared" si="9"/>
        <v>0</v>
      </c>
      <c r="J439" s="16">
        <v>0</v>
      </c>
      <c r="K439" s="20">
        <v>0</v>
      </c>
      <c r="L439" s="21"/>
      <c r="M439" s="21"/>
      <c r="N439" s="16">
        <v>0</v>
      </c>
      <c r="O439" s="16">
        <v>0</v>
      </c>
      <c r="P439" s="16">
        <v>0</v>
      </c>
      <c r="Q439" s="16">
        <v>0</v>
      </c>
      <c r="R439" s="16">
        <v>0</v>
      </c>
      <c r="S439" s="22">
        <v>35000</v>
      </c>
      <c r="T439" s="19">
        <f t="shared" si="10"/>
        <v>0</v>
      </c>
      <c r="U439" s="19">
        <f t="shared" si="11"/>
        <v>35000</v>
      </c>
      <c r="V439" s="22">
        <v>35000</v>
      </c>
      <c r="W439" s="31">
        <v>0</v>
      </c>
      <c r="X439" s="22">
        <v>0</v>
      </c>
      <c r="Y439" s="22">
        <v>0</v>
      </c>
      <c r="Z439" s="22">
        <v>0</v>
      </c>
      <c r="AA439" s="22">
        <v>0</v>
      </c>
      <c r="AB439" s="22">
        <v>0</v>
      </c>
      <c r="AC439" s="22">
        <v>0</v>
      </c>
      <c r="AD439" s="22">
        <v>0</v>
      </c>
      <c r="AE439" s="22">
        <v>0</v>
      </c>
      <c r="AF439" s="22">
        <v>5000</v>
      </c>
      <c r="AG439" s="22">
        <v>0</v>
      </c>
      <c r="AH439" s="22">
        <v>0</v>
      </c>
      <c r="AI439" s="22">
        <v>0</v>
      </c>
      <c r="AJ439" s="22">
        <v>0</v>
      </c>
      <c r="AK439" s="22">
        <v>0</v>
      </c>
      <c r="AL439" s="22">
        <v>0</v>
      </c>
      <c r="AM439" s="22">
        <v>0</v>
      </c>
      <c r="AN439" s="22">
        <v>0</v>
      </c>
      <c r="AO439" s="22">
        <v>0</v>
      </c>
      <c r="AP439" s="22">
        <v>0</v>
      </c>
      <c r="AQ439" s="22">
        <v>0</v>
      </c>
      <c r="AR439" s="22">
        <v>0</v>
      </c>
      <c r="AS439" s="22">
        <v>0</v>
      </c>
      <c r="AT439" s="22">
        <v>0</v>
      </c>
      <c r="AU439" s="19">
        <f t="shared" si="12"/>
        <v>5000</v>
      </c>
      <c r="AV439" s="22">
        <v>30000</v>
      </c>
      <c r="AW439" s="24" t="s">
        <v>54</v>
      </c>
      <c r="AX439" s="25">
        <v>45789</v>
      </c>
      <c r="AY439" s="15"/>
      <c r="AZ439" s="26"/>
      <c r="BA439" s="27">
        <f t="shared" si="13"/>
        <v>0</v>
      </c>
      <c r="BB439" s="14"/>
      <c r="BC439" s="28"/>
    </row>
    <row r="440" spans="1:55" ht="28.8" x14ac:dyDescent="0.4">
      <c r="A440" s="15">
        <v>439</v>
      </c>
      <c r="B440" s="16">
        <v>25001</v>
      </c>
      <c r="C440" s="17" t="s">
        <v>654</v>
      </c>
      <c r="D440" s="16" t="s">
        <v>655</v>
      </c>
      <c r="E440" s="16" t="s">
        <v>656</v>
      </c>
      <c r="F440" s="16">
        <v>30</v>
      </c>
      <c r="G440" s="16">
        <v>28</v>
      </c>
      <c r="H440" s="18">
        <f t="shared" si="15"/>
        <v>2</v>
      </c>
      <c r="I440" s="19">
        <f t="shared" si="9"/>
        <v>2333.3333333333335</v>
      </c>
      <c r="J440" s="16">
        <v>0</v>
      </c>
      <c r="K440" s="20">
        <v>0</v>
      </c>
      <c r="L440" s="21"/>
      <c r="M440" s="21"/>
      <c r="N440" s="16">
        <v>0</v>
      </c>
      <c r="O440" s="16">
        <v>0</v>
      </c>
      <c r="P440" s="16">
        <v>2</v>
      </c>
      <c r="Q440" s="16">
        <v>0</v>
      </c>
      <c r="R440" s="16">
        <v>0</v>
      </c>
      <c r="S440" s="22">
        <v>35000</v>
      </c>
      <c r="T440" s="19">
        <f t="shared" si="10"/>
        <v>0</v>
      </c>
      <c r="U440" s="19">
        <f t="shared" si="11"/>
        <v>32667</v>
      </c>
      <c r="V440" s="22">
        <v>32667</v>
      </c>
      <c r="W440" s="31">
        <v>0</v>
      </c>
      <c r="X440" s="22">
        <v>0</v>
      </c>
      <c r="Y440" s="22">
        <v>0</v>
      </c>
      <c r="Z440" s="22">
        <v>0</v>
      </c>
      <c r="AA440" s="22">
        <v>0</v>
      </c>
      <c r="AB440" s="22">
        <v>22667</v>
      </c>
      <c r="AC440" s="22">
        <v>0</v>
      </c>
      <c r="AD440" s="22">
        <v>0</v>
      </c>
      <c r="AE440" s="22">
        <v>0</v>
      </c>
      <c r="AF440" s="22">
        <v>10000</v>
      </c>
      <c r="AG440" s="22">
        <v>0</v>
      </c>
      <c r="AH440" s="22">
        <v>0</v>
      </c>
      <c r="AI440" s="22">
        <v>0</v>
      </c>
      <c r="AJ440" s="22">
        <v>0</v>
      </c>
      <c r="AK440" s="22">
        <v>0</v>
      </c>
      <c r="AL440" s="22">
        <v>0</v>
      </c>
      <c r="AM440" s="22">
        <v>0</v>
      </c>
      <c r="AN440" s="22">
        <v>0</v>
      </c>
      <c r="AO440" s="22">
        <v>0</v>
      </c>
      <c r="AP440" s="22">
        <v>0</v>
      </c>
      <c r="AQ440" s="22">
        <v>0</v>
      </c>
      <c r="AR440" s="22">
        <v>0</v>
      </c>
      <c r="AS440" s="22">
        <v>0</v>
      </c>
      <c r="AT440" s="22">
        <v>0</v>
      </c>
      <c r="AU440" s="19">
        <f t="shared" si="12"/>
        <v>32667</v>
      </c>
      <c r="AV440" s="22">
        <f>22666.67-22667</f>
        <v>-0.33000000000174623</v>
      </c>
      <c r="AW440" s="24"/>
      <c r="AX440" s="34"/>
      <c r="AY440" s="15"/>
      <c r="AZ440" s="26"/>
      <c r="BA440" s="27">
        <f t="shared" si="13"/>
        <v>-3.3333333303744439E-3</v>
      </c>
      <c r="BB440" s="14"/>
      <c r="BC440" s="28"/>
    </row>
    <row r="441" spans="1:55" ht="28.8" x14ac:dyDescent="0.4">
      <c r="A441" s="15">
        <v>440</v>
      </c>
      <c r="B441" s="16">
        <v>25011</v>
      </c>
      <c r="C441" s="17" t="s">
        <v>654</v>
      </c>
      <c r="D441" s="16" t="s">
        <v>657</v>
      </c>
      <c r="E441" s="16" t="s">
        <v>164</v>
      </c>
      <c r="F441" s="16">
        <v>30</v>
      </c>
      <c r="G441" s="16">
        <v>30</v>
      </c>
      <c r="H441" s="18">
        <f t="shared" si="15"/>
        <v>0</v>
      </c>
      <c r="I441" s="19">
        <f t="shared" si="9"/>
        <v>0</v>
      </c>
      <c r="J441" s="16">
        <v>0</v>
      </c>
      <c r="K441" s="20">
        <v>0</v>
      </c>
      <c r="L441" s="21"/>
      <c r="M441" s="21"/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>
        <v>28000</v>
      </c>
      <c r="T441" s="19">
        <f t="shared" si="10"/>
        <v>0</v>
      </c>
      <c r="U441" s="19">
        <f t="shared" si="11"/>
        <v>30000</v>
      </c>
      <c r="V441" s="22">
        <v>28000</v>
      </c>
      <c r="W441" s="31">
        <v>0</v>
      </c>
      <c r="X441" s="22">
        <v>0</v>
      </c>
      <c r="Y441" s="22">
        <v>0</v>
      </c>
      <c r="Z441" s="22">
        <v>0</v>
      </c>
      <c r="AA441" s="22">
        <v>0</v>
      </c>
      <c r="AB441" s="22">
        <v>0</v>
      </c>
      <c r="AC441" s="22">
        <v>0</v>
      </c>
      <c r="AD441" s="22">
        <v>0</v>
      </c>
      <c r="AE441" s="22">
        <v>0</v>
      </c>
      <c r="AF441" s="22">
        <v>0</v>
      </c>
      <c r="AG441" s="22">
        <v>0</v>
      </c>
      <c r="AH441" s="22">
        <v>0</v>
      </c>
      <c r="AI441" s="22">
        <v>0</v>
      </c>
      <c r="AJ441" s="22">
        <v>0</v>
      </c>
      <c r="AK441" s="22">
        <v>0</v>
      </c>
      <c r="AL441" s="22">
        <v>0</v>
      </c>
      <c r="AM441" s="22">
        <v>0</v>
      </c>
      <c r="AN441" s="22">
        <v>2000</v>
      </c>
      <c r="AO441" s="22">
        <v>0</v>
      </c>
      <c r="AP441" s="22">
        <v>0</v>
      </c>
      <c r="AQ441" s="22">
        <v>0</v>
      </c>
      <c r="AR441" s="22">
        <v>0</v>
      </c>
      <c r="AS441" s="22">
        <v>0</v>
      </c>
      <c r="AT441" s="22">
        <v>0</v>
      </c>
      <c r="AU441" s="19">
        <f t="shared" si="12"/>
        <v>0</v>
      </c>
      <c r="AV441" s="22">
        <v>30000</v>
      </c>
      <c r="AW441" s="24" t="s">
        <v>54</v>
      </c>
      <c r="AX441" s="25">
        <v>45789</v>
      </c>
      <c r="AY441" s="15"/>
      <c r="AZ441" s="26"/>
      <c r="BA441" s="27">
        <f>+S441/F441*G441-T441-AU441-AV441+X441+2000</f>
        <v>0</v>
      </c>
      <c r="BB441" s="14"/>
      <c r="BC441" s="28"/>
    </row>
    <row r="442" spans="1:55" ht="42.6" x14ac:dyDescent="0.4">
      <c r="A442" s="15">
        <v>441</v>
      </c>
      <c r="B442" s="16">
        <v>25021</v>
      </c>
      <c r="C442" s="17" t="s">
        <v>654</v>
      </c>
      <c r="D442" s="16" t="s">
        <v>658</v>
      </c>
      <c r="E442" s="16" t="s">
        <v>659</v>
      </c>
      <c r="F442" s="16">
        <v>30</v>
      </c>
      <c r="G442" s="16">
        <v>15</v>
      </c>
      <c r="H442" s="18">
        <f t="shared" si="15"/>
        <v>15</v>
      </c>
      <c r="I442" s="19">
        <f t="shared" si="9"/>
        <v>20000</v>
      </c>
      <c r="J442" s="16">
        <v>0</v>
      </c>
      <c r="K442" s="20">
        <v>0</v>
      </c>
      <c r="L442" s="21"/>
      <c r="M442" s="21"/>
      <c r="N442" s="16">
        <v>0</v>
      </c>
      <c r="O442" s="16">
        <v>0</v>
      </c>
      <c r="P442" s="16">
        <v>0</v>
      </c>
      <c r="Q442" s="16">
        <v>0</v>
      </c>
      <c r="R442" s="16">
        <v>15</v>
      </c>
      <c r="S442" s="22">
        <v>40000</v>
      </c>
      <c r="T442" s="19">
        <f t="shared" si="10"/>
        <v>0</v>
      </c>
      <c r="U442" s="19">
        <f t="shared" si="11"/>
        <v>20000</v>
      </c>
      <c r="V442" s="22">
        <v>20000</v>
      </c>
      <c r="W442" s="31">
        <v>0</v>
      </c>
      <c r="X442" s="22">
        <v>0</v>
      </c>
      <c r="Y442" s="22">
        <v>0</v>
      </c>
      <c r="Z442" s="22">
        <v>0</v>
      </c>
      <c r="AA442" s="22">
        <v>0</v>
      </c>
      <c r="AB442" s="22">
        <v>0</v>
      </c>
      <c r="AC442" s="22">
        <v>0</v>
      </c>
      <c r="AD442" s="22">
        <v>0</v>
      </c>
      <c r="AE442" s="22">
        <v>0</v>
      </c>
      <c r="AF442" s="22">
        <v>0</v>
      </c>
      <c r="AG442" s="22">
        <v>0</v>
      </c>
      <c r="AH442" s="22">
        <v>0</v>
      </c>
      <c r="AI442" s="22">
        <v>0</v>
      </c>
      <c r="AJ442" s="22">
        <v>0</v>
      </c>
      <c r="AK442" s="22">
        <v>0</v>
      </c>
      <c r="AL442" s="22">
        <v>0</v>
      </c>
      <c r="AM442" s="22">
        <v>0</v>
      </c>
      <c r="AN442" s="22">
        <v>0</v>
      </c>
      <c r="AO442" s="22">
        <v>0</v>
      </c>
      <c r="AP442" s="22">
        <v>0</v>
      </c>
      <c r="AQ442" s="22">
        <v>0</v>
      </c>
      <c r="AR442" s="22">
        <v>0</v>
      </c>
      <c r="AS442" s="22">
        <v>0</v>
      </c>
      <c r="AT442" s="22">
        <v>0</v>
      </c>
      <c r="AU442" s="19">
        <f t="shared" si="12"/>
        <v>0</v>
      </c>
      <c r="AV442" s="22">
        <v>20000</v>
      </c>
      <c r="AW442" s="24" t="s">
        <v>54</v>
      </c>
      <c r="AX442" s="25">
        <v>45789</v>
      </c>
      <c r="AY442" s="15"/>
      <c r="AZ442" s="26"/>
      <c r="BA442" s="27">
        <f t="shared" ref="BA442:BA475" si="16">+S442/F442*G442-T442-AU442-AV442+X442</f>
        <v>0</v>
      </c>
      <c r="BB442" s="14"/>
      <c r="BC442" s="28"/>
    </row>
    <row r="443" spans="1:55" ht="28.8" x14ac:dyDescent="0.4">
      <c r="A443" s="15">
        <v>442</v>
      </c>
      <c r="B443" s="16">
        <v>80331</v>
      </c>
      <c r="C443" s="17" t="s">
        <v>654</v>
      </c>
      <c r="D443" s="16" t="s">
        <v>660</v>
      </c>
      <c r="E443" s="16" t="s">
        <v>661</v>
      </c>
      <c r="F443" s="16">
        <v>30</v>
      </c>
      <c r="G443" s="16">
        <v>29</v>
      </c>
      <c r="H443" s="18">
        <f t="shared" si="15"/>
        <v>1</v>
      </c>
      <c r="I443" s="19">
        <f t="shared" si="9"/>
        <v>1000</v>
      </c>
      <c r="J443" s="16">
        <v>0</v>
      </c>
      <c r="K443" s="20">
        <v>0</v>
      </c>
      <c r="L443" s="21"/>
      <c r="M443" s="21"/>
      <c r="N443" s="16">
        <v>1</v>
      </c>
      <c r="O443" s="16">
        <v>0</v>
      </c>
      <c r="P443" s="16">
        <v>0</v>
      </c>
      <c r="Q443" s="16">
        <v>0</v>
      </c>
      <c r="R443" s="16">
        <v>0</v>
      </c>
      <c r="S443" s="22">
        <v>30000</v>
      </c>
      <c r="T443" s="19">
        <f t="shared" si="10"/>
        <v>0</v>
      </c>
      <c r="U443" s="19">
        <f t="shared" si="11"/>
        <v>29500</v>
      </c>
      <c r="V443" s="22">
        <v>29000</v>
      </c>
      <c r="W443" s="31">
        <v>0</v>
      </c>
      <c r="X443" s="22">
        <v>500</v>
      </c>
      <c r="Y443" s="22">
        <v>0</v>
      </c>
      <c r="Z443" s="22">
        <v>0</v>
      </c>
      <c r="AA443" s="22">
        <v>0</v>
      </c>
      <c r="AB443" s="22">
        <v>0</v>
      </c>
      <c r="AC443" s="22">
        <v>0</v>
      </c>
      <c r="AD443" s="22">
        <v>0</v>
      </c>
      <c r="AE443" s="22">
        <v>0</v>
      </c>
      <c r="AF443" s="22">
        <v>0</v>
      </c>
      <c r="AG443" s="22">
        <v>0</v>
      </c>
      <c r="AH443" s="22">
        <v>0</v>
      </c>
      <c r="AI443" s="22">
        <v>0</v>
      </c>
      <c r="AJ443" s="22">
        <v>0</v>
      </c>
      <c r="AK443" s="22">
        <v>0</v>
      </c>
      <c r="AL443" s="22">
        <v>0</v>
      </c>
      <c r="AM443" s="22">
        <v>0</v>
      </c>
      <c r="AN443" s="22">
        <v>0</v>
      </c>
      <c r="AO443" s="22">
        <v>0</v>
      </c>
      <c r="AP443" s="22">
        <v>0</v>
      </c>
      <c r="AQ443" s="22">
        <v>0</v>
      </c>
      <c r="AR443" s="22">
        <v>0</v>
      </c>
      <c r="AS443" s="22">
        <v>0</v>
      </c>
      <c r="AT443" s="22">
        <v>0</v>
      </c>
      <c r="AU443" s="19">
        <f t="shared" si="12"/>
        <v>0</v>
      </c>
      <c r="AV443" s="22">
        <v>29500</v>
      </c>
      <c r="AW443" s="24" t="s">
        <v>54</v>
      </c>
      <c r="AX443" s="25">
        <v>45796</v>
      </c>
      <c r="AY443" s="15"/>
      <c r="AZ443" s="26"/>
      <c r="BA443" s="27">
        <f t="shared" si="16"/>
        <v>0</v>
      </c>
      <c r="BB443" s="14"/>
      <c r="BC443" s="28"/>
    </row>
    <row r="444" spans="1:55" ht="28.8" x14ac:dyDescent="0.4">
      <c r="A444" s="15">
        <v>443</v>
      </c>
      <c r="B444" s="16">
        <v>80593</v>
      </c>
      <c r="C444" s="17" t="s">
        <v>654</v>
      </c>
      <c r="D444" s="16" t="s">
        <v>662</v>
      </c>
      <c r="E444" s="16" t="s">
        <v>663</v>
      </c>
      <c r="F444" s="16">
        <v>30</v>
      </c>
      <c r="G444" s="16">
        <v>30</v>
      </c>
      <c r="H444" s="18">
        <f t="shared" si="15"/>
        <v>0</v>
      </c>
      <c r="I444" s="19">
        <f t="shared" si="9"/>
        <v>0</v>
      </c>
      <c r="J444" s="16">
        <v>15</v>
      </c>
      <c r="K444" s="20">
        <v>7</v>
      </c>
      <c r="L444" s="21"/>
      <c r="M444" s="21"/>
      <c r="N444" s="16">
        <v>0</v>
      </c>
      <c r="O444" s="16">
        <v>0</v>
      </c>
      <c r="P444" s="16">
        <v>0</v>
      </c>
      <c r="Q444" s="16">
        <v>0</v>
      </c>
      <c r="R444" s="16">
        <v>0</v>
      </c>
      <c r="S444" s="22">
        <v>40000</v>
      </c>
      <c r="T444" s="19">
        <f t="shared" si="10"/>
        <v>9333.3333333333321</v>
      </c>
      <c r="U444" s="19">
        <f t="shared" si="11"/>
        <v>30667</v>
      </c>
      <c r="V444" s="22">
        <v>20000</v>
      </c>
      <c r="W444" s="31">
        <v>10667</v>
      </c>
      <c r="X444" s="22">
        <v>0</v>
      </c>
      <c r="Y444" s="22">
        <v>0</v>
      </c>
      <c r="Z444" s="22">
        <v>0</v>
      </c>
      <c r="AA444" s="22">
        <v>0</v>
      </c>
      <c r="AB444" s="22">
        <v>0</v>
      </c>
      <c r="AC444" s="22">
        <v>4171</v>
      </c>
      <c r="AD444" s="22">
        <v>0</v>
      </c>
      <c r="AE444" s="22">
        <v>0</v>
      </c>
      <c r="AF444" s="22">
        <v>15000</v>
      </c>
      <c r="AG444" s="22">
        <v>0</v>
      </c>
      <c r="AH444" s="22">
        <v>0</v>
      </c>
      <c r="AI444" s="22">
        <v>0</v>
      </c>
      <c r="AJ444" s="22">
        <v>0</v>
      </c>
      <c r="AK444" s="22">
        <v>0</v>
      </c>
      <c r="AL444" s="22">
        <v>0</v>
      </c>
      <c r="AM444" s="22">
        <v>0</v>
      </c>
      <c r="AN444" s="22">
        <v>0</v>
      </c>
      <c r="AO444" s="22">
        <v>0</v>
      </c>
      <c r="AP444" s="22">
        <v>0</v>
      </c>
      <c r="AQ444" s="22">
        <v>0</v>
      </c>
      <c r="AR444" s="22">
        <v>0</v>
      </c>
      <c r="AS444" s="22">
        <v>0</v>
      </c>
      <c r="AT444" s="22">
        <v>0</v>
      </c>
      <c r="AU444" s="19">
        <f t="shared" si="12"/>
        <v>19171</v>
      </c>
      <c r="AV444" s="22">
        <v>11495.67</v>
      </c>
      <c r="AW444" s="24" t="s">
        <v>54</v>
      </c>
      <c r="AX444" s="25">
        <v>45789</v>
      </c>
      <c r="AY444" s="15"/>
      <c r="AZ444" s="26"/>
      <c r="BA444" s="27">
        <f t="shared" si="16"/>
        <v>-3.3333333321934333E-3</v>
      </c>
      <c r="BB444" s="14"/>
      <c r="BC444" s="28"/>
    </row>
    <row r="445" spans="1:55" ht="28.8" x14ac:dyDescent="0.4">
      <c r="A445" s="15">
        <v>444</v>
      </c>
      <c r="B445" s="16">
        <v>80759</v>
      </c>
      <c r="C445" s="17" t="s">
        <v>654</v>
      </c>
      <c r="D445" s="16" t="s">
        <v>664</v>
      </c>
      <c r="E445" s="16" t="s">
        <v>665</v>
      </c>
      <c r="F445" s="16">
        <v>30</v>
      </c>
      <c r="G445" s="16">
        <v>21</v>
      </c>
      <c r="H445" s="18">
        <f t="shared" si="15"/>
        <v>9</v>
      </c>
      <c r="I445" s="19">
        <f t="shared" si="9"/>
        <v>8400</v>
      </c>
      <c r="J445" s="16">
        <v>0</v>
      </c>
      <c r="K445" s="20">
        <v>0</v>
      </c>
      <c r="L445" s="21"/>
      <c r="M445" s="21"/>
      <c r="N445" s="16">
        <v>0</v>
      </c>
      <c r="O445" s="16">
        <v>0</v>
      </c>
      <c r="P445" s="16">
        <v>0</v>
      </c>
      <c r="Q445" s="16">
        <v>0</v>
      </c>
      <c r="R445" s="16">
        <v>9</v>
      </c>
      <c r="S445" s="22">
        <v>28000</v>
      </c>
      <c r="T445" s="19">
        <f t="shared" si="10"/>
        <v>0</v>
      </c>
      <c r="U445" s="19">
        <f t="shared" si="11"/>
        <v>19600</v>
      </c>
      <c r="V445" s="22">
        <v>19600</v>
      </c>
      <c r="W445" s="31">
        <v>0</v>
      </c>
      <c r="X445" s="22">
        <v>0</v>
      </c>
      <c r="Y445" s="22">
        <v>0</v>
      </c>
      <c r="Z445" s="22">
        <v>0</v>
      </c>
      <c r="AA445" s="22">
        <v>0</v>
      </c>
      <c r="AB445" s="22">
        <v>0</v>
      </c>
      <c r="AC445" s="22">
        <v>0</v>
      </c>
      <c r="AD445" s="22">
        <v>0</v>
      </c>
      <c r="AE445" s="22">
        <v>0</v>
      </c>
      <c r="AF445" s="22">
        <v>0</v>
      </c>
      <c r="AG445" s="22">
        <v>0</v>
      </c>
      <c r="AH445" s="22">
        <v>0</v>
      </c>
      <c r="AI445" s="22">
        <v>0</v>
      </c>
      <c r="AJ445" s="22">
        <v>0</v>
      </c>
      <c r="AK445" s="22">
        <v>0</v>
      </c>
      <c r="AL445" s="22">
        <v>0</v>
      </c>
      <c r="AM445" s="22">
        <v>0</v>
      </c>
      <c r="AN445" s="22">
        <v>0</v>
      </c>
      <c r="AO445" s="22">
        <v>0</v>
      </c>
      <c r="AP445" s="22">
        <v>0</v>
      </c>
      <c r="AQ445" s="22">
        <v>0</v>
      </c>
      <c r="AR445" s="22">
        <v>0</v>
      </c>
      <c r="AS445" s="22">
        <v>0</v>
      </c>
      <c r="AT445" s="22">
        <v>0</v>
      </c>
      <c r="AU445" s="19">
        <f t="shared" si="12"/>
        <v>0</v>
      </c>
      <c r="AV445" s="22">
        <v>19600</v>
      </c>
      <c r="AW445" s="24" t="s">
        <v>54</v>
      </c>
      <c r="AX445" s="25">
        <v>45789</v>
      </c>
      <c r="AY445" s="15"/>
      <c r="AZ445" s="26"/>
      <c r="BA445" s="27">
        <f t="shared" si="16"/>
        <v>0</v>
      </c>
      <c r="BB445" s="14"/>
      <c r="BC445" s="28"/>
    </row>
    <row r="446" spans="1:55" ht="28.8" x14ac:dyDescent="0.4">
      <c r="A446" s="15">
        <v>445</v>
      </c>
      <c r="B446" s="16">
        <v>80763</v>
      </c>
      <c r="C446" s="17" t="s">
        <v>654</v>
      </c>
      <c r="D446" s="16" t="s">
        <v>664</v>
      </c>
      <c r="E446" s="16" t="s">
        <v>666</v>
      </c>
      <c r="F446" s="16">
        <v>30</v>
      </c>
      <c r="G446" s="16">
        <v>19</v>
      </c>
      <c r="H446" s="18">
        <f t="shared" si="15"/>
        <v>11</v>
      </c>
      <c r="I446" s="19">
        <f t="shared" si="9"/>
        <v>10266.666666666668</v>
      </c>
      <c r="J446" s="16">
        <v>0</v>
      </c>
      <c r="K446" s="20">
        <v>0</v>
      </c>
      <c r="L446" s="21"/>
      <c r="M446" s="21"/>
      <c r="N446" s="16">
        <v>0</v>
      </c>
      <c r="O446" s="16">
        <v>0</v>
      </c>
      <c r="P446" s="16">
        <v>0</v>
      </c>
      <c r="Q446" s="16">
        <v>0</v>
      </c>
      <c r="R446" s="16">
        <v>11</v>
      </c>
      <c r="S446" s="22">
        <v>28000</v>
      </c>
      <c r="T446" s="19">
        <f t="shared" si="10"/>
        <v>0</v>
      </c>
      <c r="U446" s="19">
        <f t="shared" si="11"/>
        <v>17733</v>
      </c>
      <c r="V446" s="22">
        <v>17733</v>
      </c>
      <c r="W446" s="31">
        <v>0</v>
      </c>
      <c r="X446" s="22">
        <v>0</v>
      </c>
      <c r="Y446" s="22">
        <v>0</v>
      </c>
      <c r="Z446" s="22">
        <v>0</v>
      </c>
      <c r="AA446" s="22">
        <v>0</v>
      </c>
      <c r="AB446" s="22">
        <v>0</v>
      </c>
      <c r="AC446" s="22">
        <v>0</v>
      </c>
      <c r="AD446" s="22">
        <v>0</v>
      </c>
      <c r="AE446" s="22">
        <v>0</v>
      </c>
      <c r="AF446" s="22">
        <v>0</v>
      </c>
      <c r="AG446" s="22">
        <v>0</v>
      </c>
      <c r="AH446" s="22">
        <v>0</v>
      </c>
      <c r="AI446" s="22">
        <v>0</v>
      </c>
      <c r="AJ446" s="22">
        <v>0</v>
      </c>
      <c r="AK446" s="22">
        <v>0</v>
      </c>
      <c r="AL446" s="22">
        <v>0</v>
      </c>
      <c r="AM446" s="22">
        <v>0</v>
      </c>
      <c r="AN446" s="22">
        <v>0</v>
      </c>
      <c r="AO446" s="22">
        <v>0</v>
      </c>
      <c r="AP446" s="22">
        <v>0</v>
      </c>
      <c r="AQ446" s="22">
        <v>0</v>
      </c>
      <c r="AR446" s="22">
        <v>0</v>
      </c>
      <c r="AS446" s="22">
        <v>0</v>
      </c>
      <c r="AT446" s="22">
        <v>0</v>
      </c>
      <c r="AU446" s="19">
        <f t="shared" si="12"/>
        <v>0</v>
      </c>
      <c r="AV446" s="22">
        <v>17733.330000000002</v>
      </c>
      <c r="AW446" s="24" t="s">
        <v>54</v>
      </c>
      <c r="AX446" s="25">
        <v>45789</v>
      </c>
      <c r="AY446" s="15"/>
      <c r="AZ446" s="26"/>
      <c r="BA446" s="27">
        <f t="shared" si="16"/>
        <v>3.3333333340124227E-3</v>
      </c>
      <c r="BB446" s="14"/>
      <c r="BC446" s="28"/>
    </row>
    <row r="447" spans="1:55" ht="42.6" x14ac:dyDescent="0.4">
      <c r="A447" s="15">
        <v>446</v>
      </c>
      <c r="B447" s="16">
        <v>26019</v>
      </c>
      <c r="C447" s="17" t="s">
        <v>667</v>
      </c>
      <c r="D447" s="16" t="s">
        <v>668</v>
      </c>
      <c r="E447" s="16" t="s">
        <v>669</v>
      </c>
      <c r="F447" s="16">
        <v>30</v>
      </c>
      <c r="G447" s="16">
        <v>30</v>
      </c>
      <c r="H447" s="18">
        <f t="shared" si="15"/>
        <v>0</v>
      </c>
      <c r="I447" s="19">
        <f t="shared" si="9"/>
        <v>0</v>
      </c>
      <c r="J447" s="16">
        <v>0</v>
      </c>
      <c r="K447" s="20">
        <v>0</v>
      </c>
      <c r="L447" s="21"/>
      <c r="M447" s="21"/>
      <c r="N447" s="16">
        <v>0</v>
      </c>
      <c r="O447" s="16">
        <v>0</v>
      </c>
      <c r="P447" s="16">
        <v>0</v>
      </c>
      <c r="Q447" s="16">
        <v>0</v>
      </c>
      <c r="R447" s="16">
        <v>0</v>
      </c>
      <c r="S447" s="22">
        <v>38500</v>
      </c>
      <c r="T447" s="19">
        <f t="shared" si="10"/>
        <v>0</v>
      </c>
      <c r="U447" s="19">
        <f t="shared" si="11"/>
        <v>38500</v>
      </c>
      <c r="V447" s="22">
        <v>38500</v>
      </c>
      <c r="W447" s="31">
        <v>0</v>
      </c>
      <c r="X447" s="22">
        <v>0</v>
      </c>
      <c r="Y447" s="22">
        <v>0</v>
      </c>
      <c r="Z447" s="22">
        <v>0</v>
      </c>
      <c r="AA447" s="22">
        <v>0</v>
      </c>
      <c r="AB447" s="22">
        <v>0</v>
      </c>
      <c r="AC447" s="22">
        <v>0</v>
      </c>
      <c r="AD447" s="22">
        <v>0</v>
      </c>
      <c r="AE447" s="22">
        <v>0</v>
      </c>
      <c r="AF447" s="22">
        <v>7000</v>
      </c>
      <c r="AG447" s="22">
        <v>0</v>
      </c>
      <c r="AH447" s="22">
        <v>1000</v>
      </c>
      <c r="AI447" s="22">
        <v>0</v>
      </c>
      <c r="AJ447" s="22">
        <v>0</v>
      </c>
      <c r="AK447" s="22">
        <v>0</v>
      </c>
      <c r="AL447" s="22">
        <v>0</v>
      </c>
      <c r="AM447" s="22">
        <v>0</v>
      </c>
      <c r="AN447" s="22">
        <v>0</v>
      </c>
      <c r="AO447" s="22">
        <v>0</v>
      </c>
      <c r="AP447" s="22">
        <v>0</v>
      </c>
      <c r="AQ447" s="22">
        <v>0</v>
      </c>
      <c r="AR447" s="22">
        <v>0</v>
      </c>
      <c r="AS447" s="22">
        <v>0</v>
      </c>
      <c r="AT447" s="22">
        <v>0</v>
      </c>
      <c r="AU447" s="19">
        <f t="shared" si="12"/>
        <v>8000</v>
      </c>
      <c r="AV447" s="22">
        <v>30500</v>
      </c>
      <c r="AW447" s="24" t="s">
        <v>54</v>
      </c>
      <c r="AX447" s="25">
        <v>45790</v>
      </c>
      <c r="AY447" s="15"/>
      <c r="AZ447" s="26"/>
      <c r="BA447" s="27">
        <f t="shared" si="16"/>
        <v>0</v>
      </c>
      <c r="BB447" s="14"/>
      <c r="BC447" s="28"/>
    </row>
    <row r="448" spans="1:55" ht="28.8" x14ac:dyDescent="0.4">
      <c r="A448" s="15">
        <v>447</v>
      </c>
      <c r="B448" s="16">
        <v>26021</v>
      </c>
      <c r="C448" s="17" t="s">
        <v>667</v>
      </c>
      <c r="D448" s="16" t="s">
        <v>670</v>
      </c>
      <c r="E448" s="16" t="s">
        <v>671</v>
      </c>
      <c r="F448" s="16">
        <v>30</v>
      </c>
      <c r="G448" s="16">
        <v>30</v>
      </c>
      <c r="H448" s="18">
        <f t="shared" si="15"/>
        <v>0</v>
      </c>
      <c r="I448" s="19">
        <f t="shared" si="9"/>
        <v>0</v>
      </c>
      <c r="J448" s="16">
        <v>0</v>
      </c>
      <c r="K448" s="20">
        <v>0</v>
      </c>
      <c r="L448" s="21"/>
      <c r="M448" s="21"/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32">
        <v>40700</v>
      </c>
      <c r="T448" s="19">
        <f t="shared" si="10"/>
        <v>0</v>
      </c>
      <c r="U448" s="19">
        <f t="shared" si="11"/>
        <v>40700</v>
      </c>
      <c r="V448" s="22">
        <v>40700</v>
      </c>
      <c r="W448" s="31">
        <v>0</v>
      </c>
      <c r="X448" s="22">
        <v>0</v>
      </c>
      <c r="Y448" s="22">
        <v>0</v>
      </c>
      <c r="Z448" s="22">
        <v>0</v>
      </c>
      <c r="AA448" s="22">
        <v>0</v>
      </c>
      <c r="AB448" s="22">
        <v>0</v>
      </c>
      <c r="AC448" s="22">
        <v>0</v>
      </c>
      <c r="AD448" s="22">
        <v>0</v>
      </c>
      <c r="AE448" s="22">
        <v>0</v>
      </c>
      <c r="AF448" s="22">
        <v>6000</v>
      </c>
      <c r="AG448" s="22">
        <v>0</v>
      </c>
      <c r="AH448" s="22">
        <v>0</v>
      </c>
      <c r="AI448" s="22">
        <v>0</v>
      </c>
      <c r="AJ448" s="22">
        <v>0</v>
      </c>
      <c r="AK448" s="22">
        <v>0</v>
      </c>
      <c r="AL448" s="22">
        <v>0</v>
      </c>
      <c r="AM448" s="22">
        <v>0</v>
      </c>
      <c r="AN448" s="22">
        <v>0</v>
      </c>
      <c r="AO448" s="22">
        <v>0</v>
      </c>
      <c r="AP448" s="22">
        <v>0</v>
      </c>
      <c r="AQ448" s="22">
        <v>0</v>
      </c>
      <c r="AR448" s="22">
        <v>0</v>
      </c>
      <c r="AS448" s="22">
        <v>0</v>
      </c>
      <c r="AT448" s="22">
        <v>0</v>
      </c>
      <c r="AU448" s="19">
        <f t="shared" si="12"/>
        <v>6000</v>
      </c>
      <c r="AV448" s="22">
        <v>34700</v>
      </c>
      <c r="AW448" s="24" t="s">
        <v>54</v>
      </c>
      <c r="AX448" s="25">
        <v>45790</v>
      </c>
      <c r="AY448" s="15"/>
      <c r="AZ448" s="26"/>
      <c r="BA448" s="27">
        <f t="shared" si="16"/>
        <v>0</v>
      </c>
      <c r="BB448" s="14"/>
      <c r="BC448" s="28"/>
    </row>
    <row r="449" spans="1:55" ht="28.8" x14ac:dyDescent="0.4">
      <c r="A449" s="15">
        <v>448</v>
      </c>
      <c r="B449" s="16">
        <v>26024</v>
      </c>
      <c r="C449" s="17" t="s">
        <v>667</v>
      </c>
      <c r="D449" s="16" t="s">
        <v>670</v>
      </c>
      <c r="E449" s="16" t="s">
        <v>672</v>
      </c>
      <c r="F449" s="16">
        <v>30</v>
      </c>
      <c r="G449" s="16">
        <v>30</v>
      </c>
      <c r="H449" s="18">
        <f t="shared" si="15"/>
        <v>0</v>
      </c>
      <c r="I449" s="19">
        <f t="shared" si="9"/>
        <v>0</v>
      </c>
      <c r="J449" s="16">
        <v>0</v>
      </c>
      <c r="K449" s="20">
        <v>0</v>
      </c>
      <c r="L449" s="21"/>
      <c r="M449" s="21"/>
      <c r="N449" s="16">
        <v>0</v>
      </c>
      <c r="O449" s="16">
        <v>0</v>
      </c>
      <c r="P449" s="16">
        <v>0</v>
      </c>
      <c r="Q449" s="16">
        <v>0</v>
      </c>
      <c r="R449" s="16">
        <v>0</v>
      </c>
      <c r="S449" s="22">
        <v>55000</v>
      </c>
      <c r="T449" s="19">
        <f t="shared" si="10"/>
        <v>0</v>
      </c>
      <c r="U449" s="19">
        <f t="shared" si="11"/>
        <v>55000</v>
      </c>
      <c r="V449" s="22">
        <v>55000</v>
      </c>
      <c r="W449" s="31">
        <v>0</v>
      </c>
      <c r="X449" s="22">
        <v>0</v>
      </c>
      <c r="Y449" s="22">
        <v>0</v>
      </c>
      <c r="Z449" s="22">
        <v>0</v>
      </c>
      <c r="AA449" s="22">
        <v>0</v>
      </c>
      <c r="AB449" s="22">
        <v>0</v>
      </c>
      <c r="AC449" s="22">
        <v>0</v>
      </c>
      <c r="AD449" s="22">
        <v>0</v>
      </c>
      <c r="AE449" s="22">
        <v>0</v>
      </c>
      <c r="AF449" s="22">
        <v>10000</v>
      </c>
      <c r="AG449" s="22">
        <v>0</v>
      </c>
      <c r="AH449" s="22">
        <v>0</v>
      </c>
      <c r="AI449" s="22">
        <v>0</v>
      </c>
      <c r="AJ449" s="22">
        <v>0</v>
      </c>
      <c r="AK449" s="22">
        <v>0</v>
      </c>
      <c r="AL449" s="22">
        <v>0</v>
      </c>
      <c r="AM449" s="22">
        <v>0</v>
      </c>
      <c r="AN449" s="22">
        <v>0</v>
      </c>
      <c r="AO449" s="22">
        <v>0</v>
      </c>
      <c r="AP449" s="22">
        <v>0</v>
      </c>
      <c r="AQ449" s="22">
        <v>0</v>
      </c>
      <c r="AR449" s="22">
        <v>0</v>
      </c>
      <c r="AS449" s="22">
        <v>0</v>
      </c>
      <c r="AT449" s="22">
        <v>0</v>
      </c>
      <c r="AU449" s="19">
        <f t="shared" si="12"/>
        <v>10000</v>
      </c>
      <c r="AV449" s="22">
        <v>45000</v>
      </c>
      <c r="AW449" s="24" t="s">
        <v>54</v>
      </c>
      <c r="AX449" s="25">
        <v>45790</v>
      </c>
      <c r="AY449" s="15"/>
      <c r="AZ449" s="26"/>
      <c r="BA449" s="27">
        <f t="shared" si="16"/>
        <v>0</v>
      </c>
      <c r="BB449" s="14"/>
      <c r="BC449" s="28"/>
    </row>
    <row r="450" spans="1:55" ht="21" x14ac:dyDescent="0.4">
      <c r="A450" s="15">
        <v>449</v>
      </c>
      <c r="B450" s="16">
        <v>7007</v>
      </c>
      <c r="C450" s="17" t="s">
        <v>667</v>
      </c>
      <c r="D450" s="16" t="s">
        <v>673</v>
      </c>
      <c r="E450" s="16" t="s">
        <v>674</v>
      </c>
      <c r="F450" s="16">
        <v>30</v>
      </c>
      <c r="G450" s="16">
        <v>30</v>
      </c>
      <c r="H450" s="18">
        <f t="shared" si="15"/>
        <v>0</v>
      </c>
      <c r="I450" s="19">
        <f t="shared" si="9"/>
        <v>0</v>
      </c>
      <c r="J450" s="16">
        <v>0</v>
      </c>
      <c r="K450" s="20">
        <v>0</v>
      </c>
      <c r="L450" s="21"/>
      <c r="M450" s="21"/>
      <c r="N450" s="16">
        <v>0</v>
      </c>
      <c r="O450" s="16">
        <v>0</v>
      </c>
      <c r="P450" s="16">
        <v>0</v>
      </c>
      <c r="Q450" s="16">
        <v>0</v>
      </c>
      <c r="R450" s="16">
        <v>0</v>
      </c>
      <c r="S450" s="32">
        <v>37200</v>
      </c>
      <c r="T450" s="19">
        <f t="shared" si="10"/>
        <v>0</v>
      </c>
      <c r="U450" s="19">
        <f t="shared" si="11"/>
        <v>37200</v>
      </c>
      <c r="V450" s="22">
        <v>37200</v>
      </c>
      <c r="W450" s="31">
        <v>0</v>
      </c>
      <c r="X450" s="22">
        <v>0</v>
      </c>
      <c r="Y450" s="22">
        <v>0</v>
      </c>
      <c r="Z450" s="22">
        <v>0</v>
      </c>
      <c r="AA450" s="22">
        <v>0</v>
      </c>
      <c r="AB450" s="22">
        <v>0</v>
      </c>
      <c r="AC450" s="22">
        <v>0</v>
      </c>
      <c r="AD450" s="22">
        <v>0</v>
      </c>
      <c r="AE450" s="22">
        <v>0</v>
      </c>
      <c r="AF450" s="22">
        <v>5000</v>
      </c>
      <c r="AG450" s="22">
        <v>0</v>
      </c>
      <c r="AH450" s="22">
        <v>0</v>
      </c>
      <c r="AI450" s="22">
        <v>0</v>
      </c>
      <c r="AJ450" s="22">
        <v>0</v>
      </c>
      <c r="AK450" s="22">
        <v>0</v>
      </c>
      <c r="AL450" s="22">
        <v>0</v>
      </c>
      <c r="AM450" s="22">
        <v>0</v>
      </c>
      <c r="AN450" s="22">
        <v>0</v>
      </c>
      <c r="AO450" s="22">
        <v>0</v>
      </c>
      <c r="AP450" s="22">
        <v>0</v>
      </c>
      <c r="AQ450" s="22">
        <v>0</v>
      </c>
      <c r="AR450" s="22">
        <v>0</v>
      </c>
      <c r="AS450" s="22">
        <v>0</v>
      </c>
      <c r="AT450" s="22">
        <v>0</v>
      </c>
      <c r="AU450" s="19">
        <f t="shared" si="12"/>
        <v>5000</v>
      </c>
      <c r="AV450" s="22">
        <v>32200</v>
      </c>
      <c r="AW450" s="24" t="s">
        <v>54</v>
      </c>
      <c r="AX450" s="25">
        <v>45789</v>
      </c>
      <c r="AY450" s="15"/>
      <c r="AZ450" s="26"/>
      <c r="BA450" s="27">
        <f t="shared" si="16"/>
        <v>0</v>
      </c>
      <c r="BB450" s="14"/>
      <c r="BC450" s="28"/>
    </row>
    <row r="451" spans="1:55" ht="28.8" x14ac:dyDescent="0.4">
      <c r="A451" s="15">
        <v>450</v>
      </c>
      <c r="B451" s="16">
        <v>22112</v>
      </c>
      <c r="C451" s="17" t="s">
        <v>667</v>
      </c>
      <c r="D451" s="16" t="s">
        <v>675</v>
      </c>
      <c r="E451" s="16" t="s">
        <v>676</v>
      </c>
      <c r="F451" s="16">
        <v>30</v>
      </c>
      <c r="G451" s="16">
        <v>30</v>
      </c>
      <c r="H451" s="18">
        <f t="shared" si="15"/>
        <v>0</v>
      </c>
      <c r="I451" s="19">
        <f t="shared" si="9"/>
        <v>0</v>
      </c>
      <c r="J451" s="16">
        <v>1</v>
      </c>
      <c r="K451" s="20">
        <v>0</v>
      </c>
      <c r="L451" s="21"/>
      <c r="M451" s="21"/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>
        <v>25000</v>
      </c>
      <c r="T451" s="19">
        <f t="shared" si="10"/>
        <v>0</v>
      </c>
      <c r="U451" s="19">
        <f t="shared" si="11"/>
        <v>25000</v>
      </c>
      <c r="V451" s="22">
        <v>24167</v>
      </c>
      <c r="W451" s="31">
        <v>833</v>
      </c>
      <c r="X451" s="22">
        <v>0</v>
      </c>
      <c r="Y451" s="22">
        <v>0</v>
      </c>
      <c r="Z451" s="22">
        <v>0</v>
      </c>
      <c r="AA451" s="22">
        <v>0</v>
      </c>
      <c r="AB451" s="22">
        <v>0</v>
      </c>
      <c r="AC451" s="22">
        <v>0</v>
      </c>
      <c r="AD451" s="22">
        <v>0</v>
      </c>
      <c r="AE451" s="22">
        <v>0</v>
      </c>
      <c r="AF451" s="22">
        <v>4000</v>
      </c>
      <c r="AG451" s="22">
        <v>0</v>
      </c>
      <c r="AH451" s="22">
        <v>0</v>
      </c>
      <c r="AI451" s="22">
        <v>0</v>
      </c>
      <c r="AJ451" s="22">
        <v>0</v>
      </c>
      <c r="AK451" s="22">
        <v>0</v>
      </c>
      <c r="AL451" s="22">
        <v>0</v>
      </c>
      <c r="AM451" s="22">
        <v>0</v>
      </c>
      <c r="AN451" s="22">
        <v>0</v>
      </c>
      <c r="AO451" s="22">
        <v>0</v>
      </c>
      <c r="AP451" s="22">
        <v>0</v>
      </c>
      <c r="AQ451" s="22">
        <v>0</v>
      </c>
      <c r="AR451" s="22">
        <v>0</v>
      </c>
      <c r="AS451" s="22">
        <v>0</v>
      </c>
      <c r="AT451" s="22">
        <v>0</v>
      </c>
      <c r="AU451" s="19">
        <f t="shared" si="12"/>
        <v>4000</v>
      </c>
      <c r="AV451" s="22">
        <v>21000</v>
      </c>
      <c r="AW451" s="24" t="s">
        <v>54</v>
      </c>
      <c r="AX451" s="25">
        <v>45789</v>
      </c>
      <c r="AY451" s="15"/>
      <c r="AZ451" s="26"/>
      <c r="BA451" s="27">
        <f t="shared" si="16"/>
        <v>0</v>
      </c>
      <c r="BB451" s="14"/>
      <c r="BC451" s="28"/>
    </row>
    <row r="452" spans="1:55" ht="28.8" x14ac:dyDescent="0.4">
      <c r="A452" s="15">
        <v>451</v>
      </c>
      <c r="B452" s="16">
        <v>13036</v>
      </c>
      <c r="C452" s="17" t="s">
        <v>667</v>
      </c>
      <c r="D452" s="16" t="s">
        <v>677</v>
      </c>
      <c r="E452" s="16" t="s">
        <v>242</v>
      </c>
      <c r="F452" s="16">
        <v>30</v>
      </c>
      <c r="G452" s="16">
        <v>30</v>
      </c>
      <c r="H452" s="18">
        <f t="shared" si="15"/>
        <v>0</v>
      </c>
      <c r="I452" s="19">
        <f t="shared" si="9"/>
        <v>0</v>
      </c>
      <c r="J452" s="16">
        <v>0</v>
      </c>
      <c r="K452" s="20">
        <v>0</v>
      </c>
      <c r="L452" s="21"/>
      <c r="M452" s="21"/>
      <c r="N452" s="16">
        <v>0</v>
      </c>
      <c r="O452" s="16">
        <v>0</v>
      </c>
      <c r="P452" s="16">
        <v>0</v>
      </c>
      <c r="Q452" s="16">
        <v>0</v>
      </c>
      <c r="R452" s="16">
        <v>0</v>
      </c>
      <c r="S452" s="32">
        <v>30250</v>
      </c>
      <c r="T452" s="19">
        <f t="shared" si="10"/>
        <v>0</v>
      </c>
      <c r="U452" s="19">
        <f t="shared" si="11"/>
        <v>30250</v>
      </c>
      <c r="V452" s="22">
        <v>30250</v>
      </c>
      <c r="W452" s="31">
        <v>0</v>
      </c>
      <c r="X452" s="22">
        <v>0</v>
      </c>
      <c r="Y452" s="22">
        <v>0</v>
      </c>
      <c r="Z452" s="22">
        <v>0</v>
      </c>
      <c r="AA452" s="22">
        <v>0</v>
      </c>
      <c r="AB452" s="22">
        <v>0</v>
      </c>
      <c r="AC452" s="22">
        <v>0</v>
      </c>
      <c r="AD452" s="22">
        <v>0</v>
      </c>
      <c r="AE452" s="22">
        <v>0</v>
      </c>
      <c r="AF452" s="22">
        <v>4000</v>
      </c>
      <c r="AG452" s="22">
        <v>0</v>
      </c>
      <c r="AH452" s="22">
        <v>0</v>
      </c>
      <c r="AI452" s="22">
        <v>0</v>
      </c>
      <c r="AJ452" s="22">
        <v>0</v>
      </c>
      <c r="AK452" s="22">
        <v>0</v>
      </c>
      <c r="AL452" s="22">
        <v>0</v>
      </c>
      <c r="AM452" s="22">
        <v>0</v>
      </c>
      <c r="AN452" s="22">
        <v>0</v>
      </c>
      <c r="AO452" s="22">
        <v>0</v>
      </c>
      <c r="AP452" s="22">
        <v>0</v>
      </c>
      <c r="AQ452" s="22">
        <v>0</v>
      </c>
      <c r="AR452" s="22">
        <v>0</v>
      </c>
      <c r="AS452" s="22">
        <v>0</v>
      </c>
      <c r="AT452" s="22">
        <v>0</v>
      </c>
      <c r="AU452" s="19">
        <f t="shared" si="12"/>
        <v>4000</v>
      </c>
      <c r="AV452" s="22">
        <v>26250</v>
      </c>
      <c r="AW452" s="24" t="s">
        <v>54</v>
      </c>
      <c r="AX452" s="25">
        <v>45791</v>
      </c>
      <c r="AY452" s="15"/>
      <c r="AZ452" s="26"/>
      <c r="BA452" s="27">
        <f t="shared" si="16"/>
        <v>0</v>
      </c>
      <c r="BB452" s="14"/>
      <c r="BC452" s="28"/>
    </row>
    <row r="453" spans="1:55" ht="28.8" x14ac:dyDescent="0.4">
      <c r="A453" s="15">
        <v>452</v>
      </c>
      <c r="B453" s="16">
        <v>24003</v>
      </c>
      <c r="C453" s="17" t="s">
        <v>667</v>
      </c>
      <c r="D453" s="16" t="s">
        <v>677</v>
      </c>
      <c r="E453" s="16" t="s">
        <v>354</v>
      </c>
      <c r="F453" s="16">
        <v>30</v>
      </c>
      <c r="G453" s="16">
        <v>30</v>
      </c>
      <c r="H453" s="18">
        <f t="shared" si="15"/>
        <v>0</v>
      </c>
      <c r="I453" s="19">
        <f t="shared" si="9"/>
        <v>0</v>
      </c>
      <c r="J453" s="16">
        <v>0</v>
      </c>
      <c r="K453" s="20">
        <v>0</v>
      </c>
      <c r="L453" s="21"/>
      <c r="M453" s="21"/>
      <c r="N453" s="16">
        <v>0</v>
      </c>
      <c r="O453" s="16">
        <v>0</v>
      </c>
      <c r="P453" s="16">
        <v>0</v>
      </c>
      <c r="Q453" s="16">
        <v>0</v>
      </c>
      <c r="R453" s="16">
        <v>0</v>
      </c>
      <c r="S453" s="22">
        <v>33000</v>
      </c>
      <c r="T453" s="19">
        <f t="shared" si="10"/>
        <v>0</v>
      </c>
      <c r="U453" s="19">
        <f t="shared" si="11"/>
        <v>33000</v>
      </c>
      <c r="V453" s="22">
        <v>33000</v>
      </c>
      <c r="W453" s="31">
        <v>0</v>
      </c>
      <c r="X453" s="22">
        <v>0</v>
      </c>
      <c r="Y453" s="22">
        <v>0</v>
      </c>
      <c r="Z453" s="22">
        <v>0</v>
      </c>
      <c r="AA453" s="22">
        <v>0</v>
      </c>
      <c r="AB453" s="22">
        <v>0</v>
      </c>
      <c r="AC453" s="22">
        <v>803</v>
      </c>
      <c r="AD453" s="22">
        <v>0</v>
      </c>
      <c r="AE453" s="22">
        <v>0</v>
      </c>
      <c r="AF453" s="22">
        <v>5000</v>
      </c>
      <c r="AG453" s="22">
        <v>0</v>
      </c>
      <c r="AH453" s="22">
        <v>0</v>
      </c>
      <c r="AI453" s="22">
        <v>0</v>
      </c>
      <c r="AJ453" s="22">
        <v>0</v>
      </c>
      <c r="AK453" s="22">
        <v>0</v>
      </c>
      <c r="AL453" s="22">
        <v>0</v>
      </c>
      <c r="AM453" s="22">
        <v>0</v>
      </c>
      <c r="AN453" s="22">
        <v>0</v>
      </c>
      <c r="AO453" s="22">
        <v>0</v>
      </c>
      <c r="AP453" s="22">
        <v>0</v>
      </c>
      <c r="AQ453" s="22">
        <v>0</v>
      </c>
      <c r="AR453" s="22">
        <v>0</v>
      </c>
      <c r="AS453" s="22">
        <v>0</v>
      </c>
      <c r="AT453" s="22">
        <v>0</v>
      </c>
      <c r="AU453" s="19">
        <f t="shared" si="12"/>
        <v>5803</v>
      </c>
      <c r="AV453" s="22">
        <v>27197</v>
      </c>
      <c r="AW453" s="24" t="s">
        <v>54</v>
      </c>
      <c r="AX453" s="25">
        <v>45789</v>
      </c>
      <c r="AY453" s="15"/>
      <c r="AZ453" s="26"/>
      <c r="BA453" s="27">
        <f t="shared" si="16"/>
        <v>0</v>
      </c>
      <c r="BB453" s="14"/>
      <c r="BC453" s="28"/>
    </row>
    <row r="454" spans="1:55" ht="28.8" x14ac:dyDescent="0.4">
      <c r="A454" s="15">
        <v>453</v>
      </c>
      <c r="B454" s="16">
        <v>26049</v>
      </c>
      <c r="C454" s="17" t="s">
        <v>667</v>
      </c>
      <c r="D454" s="16" t="s">
        <v>670</v>
      </c>
      <c r="E454" s="16" t="s">
        <v>678</v>
      </c>
      <c r="F454" s="16">
        <v>30</v>
      </c>
      <c r="G454" s="16">
        <v>30</v>
      </c>
      <c r="H454" s="18">
        <f t="shared" si="15"/>
        <v>0</v>
      </c>
      <c r="I454" s="19">
        <f t="shared" si="9"/>
        <v>0</v>
      </c>
      <c r="J454" s="16">
        <v>2</v>
      </c>
      <c r="K454" s="33">
        <v>1</v>
      </c>
      <c r="L454" s="21"/>
      <c r="M454" s="21"/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22">
        <v>54000</v>
      </c>
      <c r="T454" s="19">
        <f t="shared" si="10"/>
        <v>1800</v>
      </c>
      <c r="U454" s="19">
        <f t="shared" si="11"/>
        <v>54000</v>
      </c>
      <c r="V454" s="22">
        <v>50400</v>
      </c>
      <c r="W454" s="31">
        <f>1800+1800</f>
        <v>3600</v>
      </c>
      <c r="X454" s="22">
        <v>0</v>
      </c>
      <c r="Y454" s="22">
        <v>0</v>
      </c>
      <c r="Z454" s="22">
        <v>0</v>
      </c>
      <c r="AA454" s="22">
        <v>0</v>
      </c>
      <c r="AB454" s="22">
        <v>0</v>
      </c>
      <c r="AC454" s="22">
        <v>2100</v>
      </c>
      <c r="AD454" s="22">
        <v>0</v>
      </c>
      <c r="AE454" s="22">
        <v>0</v>
      </c>
      <c r="AF454" s="22">
        <v>6000</v>
      </c>
      <c r="AG454" s="22">
        <v>0</v>
      </c>
      <c r="AH454" s="22">
        <v>0</v>
      </c>
      <c r="AI454" s="22">
        <v>0</v>
      </c>
      <c r="AJ454" s="22">
        <v>0</v>
      </c>
      <c r="AK454" s="22">
        <v>0</v>
      </c>
      <c r="AL454" s="22">
        <v>0</v>
      </c>
      <c r="AM454" s="22">
        <v>0</v>
      </c>
      <c r="AN454" s="22">
        <v>0</v>
      </c>
      <c r="AO454" s="22">
        <v>0</v>
      </c>
      <c r="AP454" s="22">
        <v>0</v>
      </c>
      <c r="AQ454" s="22">
        <v>0</v>
      </c>
      <c r="AR454" s="22">
        <v>0</v>
      </c>
      <c r="AS454" s="22">
        <v>0</v>
      </c>
      <c r="AT454" s="22">
        <v>0</v>
      </c>
      <c r="AU454" s="19">
        <f t="shared" si="12"/>
        <v>8100</v>
      </c>
      <c r="AV454" s="22">
        <f>44100+1800</f>
        <v>45900</v>
      </c>
      <c r="AW454" s="29" t="s">
        <v>54</v>
      </c>
      <c r="AX454" s="25">
        <v>45789</v>
      </c>
      <c r="AY454" s="15"/>
      <c r="AZ454" s="26"/>
      <c r="BA454" s="27">
        <f t="shared" si="16"/>
        <v>-1800</v>
      </c>
      <c r="BB454" s="14"/>
      <c r="BC454" s="28"/>
    </row>
    <row r="455" spans="1:55" ht="28.8" x14ac:dyDescent="0.4">
      <c r="A455" s="15">
        <v>454</v>
      </c>
      <c r="B455" s="16">
        <v>26053</v>
      </c>
      <c r="C455" s="17" t="s">
        <v>667</v>
      </c>
      <c r="D455" s="16" t="s">
        <v>670</v>
      </c>
      <c r="E455" s="16" t="s">
        <v>679</v>
      </c>
      <c r="F455" s="16">
        <v>30</v>
      </c>
      <c r="G455" s="16">
        <v>29</v>
      </c>
      <c r="H455" s="18">
        <f t="shared" si="15"/>
        <v>1</v>
      </c>
      <c r="I455" s="19">
        <f t="shared" si="9"/>
        <v>1540</v>
      </c>
      <c r="J455" s="16">
        <v>1</v>
      </c>
      <c r="K455" s="20">
        <v>0</v>
      </c>
      <c r="L455" s="21"/>
      <c r="M455" s="21"/>
      <c r="N455" s="16">
        <v>0</v>
      </c>
      <c r="O455" s="16">
        <v>0</v>
      </c>
      <c r="P455" s="16">
        <v>0</v>
      </c>
      <c r="Q455" s="16">
        <v>1</v>
      </c>
      <c r="R455" s="16">
        <v>0</v>
      </c>
      <c r="S455" s="22">
        <v>46200</v>
      </c>
      <c r="T455" s="19">
        <f t="shared" si="10"/>
        <v>0</v>
      </c>
      <c r="U455" s="19">
        <f t="shared" si="11"/>
        <v>44660</v>
      </c>
      <c r="V455" s="22">
        <v>43120</v>
      </c>
      <c r="W455" s="31">
        <v>1540</v>
      </c>
      <c r="X455" s="22">
        <v>0</v>
      </c>
      <c r="Y455" s="22">
        <v>0</v>
      </c>
      <c r="Z455" s="22">
        <v>4620</v>
      </c>
      <c r="AA455" s="22">
        <v>0</v>
      </c>
      <c r="AB455" s="22">
        <v>0</v>
      </c>
      <c r="AC455" s="22">
        <v>0</v>
      </c>
      <c r="AD455" s="22">
        <v>0</v>
      </c>
      <c r="AE455" s="22">
        <v>0</v>
      </c>
      <c r="AF455" s="22">
        <v>6000</v>
      </c>
      <c r="AG455" s="22">
        <v>0</v>
      </c>
      <c r="AH455" s="22">
        <v>0</v>
      </c>
      <c r="AI455" s="22">
        <v>0</v>
      </c>
      <c r="AJ455" s="22">
        <v>0</v>
      </c>
      <c r="AK455" s="22">
        <v>0</v>
      </c>
      <c r="AL455" s="22">
        <v>0</v>
      </c>
      <c r="AM455" s="22">
        <v>0</v>
      </c>
      <c r="AN455" s="22">
        <v>0</v>
      </c>
      <c r="AO455" s="22">
        <v>0</v>
      </c>
      <c r="AP455" s="22">
        <v>0</v>
      </c>
      <c r="AQ455" s="22">
        <v>0</v>
      </c>
      <c r="AR455" s="22">
        <v>0</v>
      </c>
      <c r="AS455" s="22">
        <v>0</v>
      </c>
      <c r="AT455" s="22">
        <v>0</v>
      </c>
      <c r="AU455" s="19">
        <f t="shared" si="12"/>
        <v>10620</v>
      </c>
      <c r="AV455" s="22">
        <v>34040</v>
      </c>
      <c r="AW455" s="24" t="s">
        <v>54</v>
      </c>
      <c r="AX455" s="25">
        <v>45789</v>
      </c>
      <c r="AY455" s="15"/>
      <c r="AZ455" s="26"/>
      <c r="BA455" s="27">
        <f t="shared" si="16"/>
        <v>0</v>
      </c>
      <c r="BB455" s="14"/>
      <c r="BC455" s="28"/>
    </row>
    <row r="456" spans="1:55" ht="28.8" x14ac:dyDescent="0.4">
      <c r="A456" s="15">
        <v>455</v>
      </c>
      <c r="B456" s="16">
        <v>26054</v>
      </c>
      <c r="C456" s="17" t="s">
        <v>667</v>
      </c>
      <c r="D456" s="16" t="s">
        <v>677</v>
      </c>
      <c r="E456" s="16" t="s">
        <v>680</v>
      </c>
      <c r="F456" s="16">
        <v>30</v>
      </c>
      <c r="G456" s="16">
        <v>30</v>
      </c>
      <c r="H456" s="18">
        <f t="shared" si="15"/>
        <v>0</v>
      </c>
      <c r="I456" s="19">
        <f t="shared" si="9"/>
        <v>0</v>
      </c>
      <c r="J456" s="16">
        <v>0</v>
      </c>
      <c r="K456" s="20">
        <v>0</v>
      </c>
      <c r="L456" s="21"/>
      <c r="M456" s="21"/>
      <c r="N456" s="16">
        <v>0</v>
      </c>
      <c r="O456" s="16">
        <v>0</v>
      </c>
      <c r="P456" s="16">
        <v>0</v>
      </c>
      <c r="Q456" s="16">
        <v>0</v>
      </c>
      <c r="R456" s="16">
        <v>0</v>
      </c>
      <c r="S456" s="22">
        <v>33000</v>
      </c>
      <c r="T456" s="19">
        <f t="shared" si="10"/>
        <v>0</v>
      </c>
      <c r="U456" s="19">
        <f t="shared" si="11"/>
        <v>33000</v>
      </c>
      <c r="V456" s="22">
        <v>33000</v>
      </c>
      <c r="W456" s="31">
        <v>0</v>
      </c>
      <c r="X456" s="22">
        <v>0</v>
      </c>
      <c r="Y456" s="22">
        <v>0</v>
      </c>
      <c r="Z456" s="22">
        <v>0</v>
      </c>
      <c r="AA456" s="22">
        <v>0</v>
      </c>
      <c r="AB456" s="22">
        <v>0</v>
      </c>
      <c r="AC456" s="22">
        <v>0</v>
      </c>
      <c r="AD456" s="22">
        <v>0</v>
      </c>
      <c r="AE456" s="22">
        <v>0</v>
      </c>
      <c r="AF456" s="22">
        <v>6000</v>
      </c>
      <c r="AG456" s="22">
        <v>0</v>
      </c>
      <c r="AH456" s="22">
        <v>0</v>
      </c>
      <c r="AI456" s="22">
        <v>0</v>
      </c>
      <c r="AJ456" s="22">
        <v>0</v>
      </c>
      <c r="AK456" s="22">
        <v>0</v>
      </c>
      <c r="AL456" s="22">
        <v>0</v>
      </c>
      <c r="AM456" s="22">
        <v>0</v>
      </c>
      <c r="AN456" s="22">
        <v>0</v>
      </c>
      <c r="AO456" s="22">
        <v>0</v>
      </c>
      <c r="AP456" s="22">
        <v>0</v>
      </c>
      <c r="AQ456" s="22">
        <v>0</v>
      </c>
      <c r="AR456" s="22">
        <v>0</v>
      </c>
      <c r="AS456" s="22">
        <v>0</v>
      </c>
      <c r="AT456" s="22">
        <v>0</v>
      </c>
      <c r="AU456" s="19">
        <f t="shared" si="12"/>
        <v>6000</v>
      </c>
      <c r="AV456" s="22">
        <v>27000</v>
      </c>
      <c r="AW456" s="24" t="s">
        <v>54</v>
      </c>
      <c r="AX456" s="25">
        <v>45788</v>
      </c>
      <c r="AY456" s="15"/>
      <c r="AZ456" s="26"/>
      <c r="BA456" s="27">
        <f t="shared" si="16"/>
        <v>0</v>
      </c>
      <c r="BB456" s="14"/>
      <c r="BC456" s="28"/>
    </row>
    <row r="457" spans="1:55" ht="28.8" x14ac:dyDescent="0.4">
      <c r="A457" s="15">
        <v>456</v>
      </c>
      <c r="B457" s="16">
        <v>26056</v>
      </c>
      <c r="C457" s="17" t="s">
        <v>667</v>
      </c>
      <c r="D457" s="16" t="s">
        <v>670</v>
      </c>
      <c r="E457" s="16" t="s">
        <v>681</v>
      </c>
      <c r="F457" s="16">
        <v>30</v>
      </c>
      <c r="G457" s="16">
        <v>30</v>
      </c>
      <c r="H457" s="18">
        <f t="shared" si="15"/>
        <v>0</v>
      </c>
      <c r="I457" s="19">
        <f t="shared" si="9"/>
        <v>0</v>
      </c>
      <c r="J457" s="16">
        <v>0</v>
      </c>
      <c r="K457" s="20">
        <v>0</v>
      </c>
      <c r="L457" s="21"/>
      <c r="M457" s="21"/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22">
        <v>49500</v>
      </c>
      <c r="T457" s="19">
        <f t="shared" si="10"/>
        <v>0</v>
      </c>
      <c r="U457" s="19">
        <f t="shared" si="11"/>
        <v>49500</v>
      </c>
      <c r="V457" s="22">
        <v>49500</v>
      </c>
      <c r="W457" s="31">
        <v>0</v>
      </c>
      <c r="X457" s="22">
        <v>0</v>
      </c>
      <c r="Y457" s="22">
        <v>0</v>
      </c>
      <c r="Z457" s="22">
        <v>0</v>
      </c>
      <c r="AA457" s="22">
        <v>0</v>
      </c>
      <c r="AB457" s="22">
        <v>0</v>
      </c>
      <c r="AC457" s="22">
        <v>0</v>
      </c>
      <c r="AD457" s="22">
        <v>0</v>
      </c>
      <c r="AE457" s="22">
        <v>0</v>
      </c>
      <c r="AF457" s="22">
        <v>8000</v>
      </c>
      <c r="AG457" s="22">
        <v>0</v>
      </c>
      <c r="AH457" s="22">
        <v>0</v>
      </c>
      <c r="AI457" s="22">
        <v>0</v>
      </c>
      <c r="AJ457" s="22">
        <v>0</v>
      </c>
      <c r="AK457" s="22">
        <v>0</v>
      </c>
      <c r="AL457" s="22">
        <v>0</v>
      </c>
      <c r="AM457" s="22">
        <v>0</v>
      </c>
      <c r="AN457" s="22">
        <v>0</v>
      </c>
      <c r="AO457" s="22">
        <v>0</v>
      </c>
      <c r="AP457" s="22">
        <v>0</v>
      </c>
      <c r="AQ457" s="22">
        <v>0</v>
      </c>
      <c r="AR457" s="22">
        <v>0</v>
      </c>
      <c r="AS457" s="22">
        <v>0</v>
      </c>
      <c r="AT457" s="22">
        <v>0</v>
      </c>
      <c r="AU457" s="19">
        <f t="shared" si="12"/>
        <v>8000</v>
      </c>
      <c r="AV457" s="22">
        <v>41500</v>
      </c>
      <c r="AW457" s="24" t="s">
        <v>54</v>
      </c>
      <c r="AX457" s="25">
        <v>45789</v>
      </c>
      <c r="AY457" s="15"/>
      <c r="AZ457" s="26"/>
      <c r="BA457" s="27">
        <f t="shared" si="16"/>
        <v>0</v>
      </c>
      <c r="BB457" s="14"/>
      <c r="BC457" s="28"/>
    </row>
    <row r="458" spans="1:55" ht="28.8" x14ac:dyDescent="0.4">
      <c r="A458" s="15">
        <v>457</v>
      </c>
      <c r="B458" s="16">
        <v>7012</v>
      </c>
      <c r="C458" s="17" t="s">
        <v>667</v>
      </c>
      <c r="D458" s="16" t="s">
        <v>673</v>
      </c>
      <c r="E458" s="16" t="s">
        <v>682</v>
      </c>
      <c r="F458" s="16">
        <v>30</v>
      </c>
      <c r="G458" s="16">
        <v>30</v>
      </c>
      <c r="H458" s="18">
        <f t="shared" si="15"/>
        <v>0</v>
      </c>
      <c r="I458" s="19">
        <f t="shared" si="9"/>
        <v>0</v>
      </c>
      <c r="J458" s="16">
        <v>0</v>
      </c>
      <c r="K458" s="20">
        <v>0</v>
      </c>
      <c r="L458" s="21"/>
      <c r="M458" s="21"/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23">
        <v>35200</v>
      </c>
      <c r="T458" s="19">
        <f t="shared" si="10"/>
        <v>0</v>
      </c>
      <c r="U458" s="19">
        <f t="shared" si="11"/>
        <v>35200</v>
      </c>
      <c r="V458" s="22">
        <v>35200</v>
      </c>
      <c r="W458" s="31">
        <v>0</v>
      </c>
      <c r="X458" s="22">
        <v>0</v>
      </c>
      <c r="Y458" s="22">
        <v>0</v>
      </c>
      <c r="Z458" s="22">
        <v>0</v>
      </c>
      <c r="AA458" s="22">
        <v>0</v>
      </c>
      <c r="AB458" s="22">
        <v>0</v>
      </c>
      <c r="AC458" s="22">
        <v>0</v>
      </c>
      <c r="AD458" s="22">
        <v>0</v>
      </c>
      <c r="AE458" s="22">
        <v>0</v>
      </c>
      <c r="AF458" s="22">
        <v>5000</v>
      </c>
      <c r="AG458" s="22">
        <v>0</v>
      </c>
      <c r="AH458" s="22">
        <v>0</v>
      </c>
      <c r="AI458" s="22">
        <v>0</v>
      </c>
      <c r="AJ458" s="22">
        <v>0</v>
      </c>
      <c r="AK458" s="22">
        <v>0</v>
      </c>
      <c r="AL458" s="22">
        <v>0</v>
      </c>
      <c r="AM458" s="22">
        <v>0</v>
      </c>
      <c r="AN458" s="22">
        <v>0</v>
      </c>
      <c r="AO458" s="22">
        <v>0</v>
      </c>
      <c r="AP458" s="22">
        <v>0</v>
      </c>
      <c r="AQ458" s="22">
        <v>0</v>
      </c>
      <c r="AR458" s="22">
        <v>0</v>
      </c>
      <c r="AS458" s="22">
        <v>0</v>
      </c>
      <c r="AT458" s="22">
        <v>0</v>
      </c>
      <c r="AU458" s="19">
        <f t="shared" si="12"/>
        <v>5000</v>
      </c>
      <c r="AV458" s="22">
        <v>30200</v>
      </c>
      <c r="AW458" s="24" t="s">
        <v>54</v>
      </c>
      <c r="AX458" s="25">
        <v>45789</v>
      </c>
      <c r="AY458" s="15"/>
      <c r="AZ458" s="26"/>
      <c r="BA458" s="27">
        <f t="shared" si="16"/>
        <v>0</v>
      </c>
      <c r="BB458" s="14"/>
      <c r="BC458" s="28"/>
    </row>
    <row r="459" spans="1:55" ht="21" x14ac:dyDescent="0.4">
      <c r="A459" s="15">
        <v>458</v>
      </c>
      <c r="B459" s="16">
        <v>80733</v>
      </c>
      <c r="C459" s="17" t="s">
        <v>667</v>
      </c>
      <c r="D459" s="16" t="s">
        <v>125</v>
      </c>
      <c r="E459" s="16" t="s">
        <v>683</v>
      </c>
      <c r="F459" s="16">
        <v>30</v>
      </c>
      <c r="G459" s="16">
        <v>30</v>
      </c>
      <c r="H459" s="18">
        <f t="shared" si="15"/>
        <v>0</v>
      </c>
      <c r="I459" s="19">
        <f t="shared" si="9"/>
        <v>0</v>
      </c>
      <c r="J459" s="16">
        <v>0</v>
      </c>
      <c r="K459" s="20">
        <v>0</v>
      </c>
      <c r="L459" s="21"/>
      <c r="M459" s="21"/>
      <c r="N459" s="16">
        <v>0</v>
      </c>
      <c r="O459" s="16">
        <v>0</v>
      </c>
      <c r="P459" s="16">
        <v>0</v>
      </c>
      <c r="Q459" s="16">
        <v>0</v>
      </c>
      <c r="R459" s="16">
        <v>0</v>
      </c>
      <c r="S459" s="22">
        <v>25000</v>
      </c>
      <c r="T459" s="19">
        <f t="shared" si="10"/>
        <v>0</v>
      </c>
      <c r="U459" s="19">
        <f t="shared" si="11"/>
        <v>25000</v>
      </c>
      <c r="V459" s="22">
        <v>25000</v>
      </c>
      <c r="W459" s="31">
        <v>0</v>
      </c>
      <c r="X459" s="22">
        <v>0</v>
      </c>
      <c r="Y459" s="22">
        <v>0</v>
      </c>
      <c r="Z459" s="22">
        <v>0</v>
      </c>
      <c r="AA459" s="22">
        <v>0</v>
      </c>
      <c r="AB459" s="22">
        <v>0</v>
      </c>
      <c r="AC459" s="22">
        <v>0</v>
      </c>
      <c r="AD459" s="22">
        <v>0</v>
      </c>
      <c r="AE459" s="22">
        <v>0</v>
      </c>
      <c r="AF459" s="22">
        <v>4000</v>
      </c>
      <c r="AG459" s="22">
        <v>0</v>
      </c>
      <c r="AH459" s="22">
        <v>0</v>
      </c>
      <c r="AI459" s="22">
        <v>0</v>
      </c>
      <c r="AJ459" s="22">
        <v>0</v>
      </c>
      <c r="AK459" s="22">
        <v>0</v>
      </c>
      <c r="AL459" s="22">
        <v>0</v>
      </c>
      <c r="AM459" s="22">
        <v>0</v>
      </c>
      <c r="AN459" s="22">
        <v>0</v>
      </c>
      <c r="AO459" s="22">
        <v>0</v>
      </c>
      <c r="AP459" s="22">
        <v>0</v>
      </c>
      <c r="AQ459" s="22">
        <v>0</v>
      </c>
      <c r="AR459" s="22">
        <v>0</v>
      </c>
      <c r="AS459" s="22">
        <v>0</v>
      </c>
      <c r="AT459" s="22">
        <v>0</v>
      </c>
      <c r="AU459" s="19">
        <f t="shared" si="12"/>
        <v>4000</v>
      </c>
      <c r="AV459" s="22">
        <v>21000</v>
      </c>
      <c r="AW459" s="24" t="s">
        <v>54</v>
      </c>
      <c r="AX459" s="25">
        <v>45789</v>
      </c>
      <c r="AY459" s="15"/>
      <c r="AZ459" s="26"/>
      <c r="BA459" s="27">
        <f t="shared" si="16"/>
        <v>0</v>
      </c>
      <c r="BB459" s="14"/>
      <c r="BC459" s="28"/>
    </row>
    <row r="460" spans="1:55" ht="42.6" x14ac:dyDescent="0.4">
      <c r="A460" s="15">
        <v>459</v>
      </c>
      <c r="B460" s="16">
        <v>7003</v>
      </c>
      <c r="C460" s="17" t="s">
        <v>667</v>
      </c>
      <c r="D460" s="16" t="s">
        <v>673</v>
      </c>
      <c r="E460" s="16" t="s">
        <v>684</v>
      </c>
      <c r="F460" s="16">
        <v>30</v>
      </c>
      <c r="G460" s="16">
        <v>30</v>
      </c>
      <c r="H460" s="18">
        <f t="shared" si="15"/>
        <v>0</v>
      </c>
      <c r="I460" s="19">
        <f t="shared" si="9"/>
        <v>0</v>
      </c>
      <c r="J460" s="16">
        <v>0</v>
      </c>
      <c r="K460" s="20">
        <v>0</v>
      </c>
      <c r="L460" s="21"/>
      <c r="M460" s="21"/>
      <c r="N460" s="16">
        <v>0</v>
      </c>
      <c r="O460" s="16">
        <v>0</v>
      </c>
      <c r="P460" s="16">
        <v>0</v>
      </c>
      <c r="Q460" s="16">
        <v>0</v>
      </c>
      <c r="R460" s="16">
        <v>0</v>
      </c>
      <c r="S460" s="22">
        <v>38500</v>
      </c>
      <c r="T460" s="19">
        <f t="shared" si="10"/>
        <v>0</v>
      </c>
      <c r="U460" s="19">
        <f t="shared" si="11"/>
        <v>38500</v>
      </c>
      <c r="V460" s="22">
        <v>38500</v>
      </c>
      <c r="W460" s="31">
        <v>0</v>
      </c>
      <c r="X460" s="22">
        <v>0</v>
      </c>
      <c r="Y460" s="22">
        <v>0</v>
      </c>
      <c r="Z460" s="22">
        <v>0</v>
      </c>
      <c r="AA460" s="22">
        <v>0</v>
      </c>
      <c r="AB460" s="22">
        <v>0</v>
      </c>
      <c r="AC460" s="22">
        <v>0</v>
      </c>
      <c r="AD460" s="22">
        <v>0</v>
      </c>
      <c r="AE460" s="22">
        <v>0</v>
      </c>
      <c r="AF460" s="22">
        <v>0</v>
      </c>
      <c r="AG460" s="22">
        <v>0</v>
      </c>
      <c r="AH460" s="22">
        <v>0</v>
      </c>
      <c r="AI460" s="22">
        <v>0</v>
      </c>
      <c r="AJ460" s="22">
        <v>0</v>
      </c>
      <c r="AK460" s="22">
        <v>0</v>
      </c>
      <c r="AL460" s="22">
        <v>0</v>
      </c>
      <c r="AM460" s="22">
        <v>0</v>
      </c>
      <c r="AN460" s="22">
        <v>0</v>
      </c>
      <c r="AO460" s="22">
        <v>0</v>
      </c>
      <c r="AP460" s="22">
        <v>0</v>
      </c>
      <c r="AQ460" s="22">
        <v>0</v>
      </c>
      <c r="AR460" s="22">
        <v>0</v>
      </c>
      <c r="AS460" s="22">
        <v>0</v>
      </c>
      <c r="AT460" s="22">
        <v>0</v>
      </c>
      <c r="AU460" s="19">
        <f t="shared" si="12"/>
        <v>0</v>
      </c>
      <c r="AV460" s="22">
        <v>38500</v>
      </c>
      <c r="AW460" s="24" t="s">
        <v>54</v>
      </c>
      <c r="AX460" s="25">
        <v>45790</v>
      </c>
      <c r="AY460" s="15"/>
      <c r="AZ460" s="26"/>
      <c r="BA460" s="27">
        <f t="shared" si="16"/>
        <v>0</v>
      </c>
      <c r="BB460" s="14"/>
      <c r="BC460" s="28"/>
    </row>
    <row r="461" spans="1:55" ht="28.8" x14ac:dyDescent="0.4">
      <c r="A461" s="15">
        <v>460</v>
      </c>
      <c r="B461" s="16">
        <v>1006</v>
      </c>
      <c r="C461" s="17" t="s">
        <v>685</v>
      </c>
      <c r="D461" s="16" t="s">
        <v>454</v>
      </c>
      <c r="E461" s="16" t="s">
        <v>686</v>
      </c>
      <c r="F461" s="16">
        <v>30</v>
      </c>
      <c r="G461" s="16">
        <v>28</v>
      </c>
      <c r="H461" s="18">
        <f t="shared" si="15"/>
        <v>2</v>
      </c>
      <c r="I461" s="19">
        <f t="shared" si="9"/>
        <v>1833.3333333333333</v>
      </c>
      <c r="J461" s="16">
        <v>0</v>
      </c>
      <c r="K461" s="20">
        <v>0</v>
      </c>
      <c r="L461" s="21"/>
      <c r="M461" s="21"/>
      <c r="N461" s="16">
        <v>0</v>
      </c>
      <c r="O461" s="16">
        <v>0</v>
      </c>
      <c r="P461" s="16">
        <v>2</v>
      </c>
      <c r="Q461" s="16">
        <v>0</v>
      </c>
      <c r="R461" s="16">
        <v>0</v>
      </c>
      <c r="S461" s="22">
        <v>27500</v>
      </c>
      <c r="T461" s="19">
        <f t="shared" si="10"/>
        <v>0</v>
      </c>
      <c r="U461" s="19">
        <f t="shared" si="11"/>
        <v>25667</v>
      </c>
      <c r="V461" s="22">
        <v>25667</v>
      </c>
      <c r="W461" s="31">
        <v>0</v>
      </c>
      <c r="X461" s="22">
        <v>0</v>
      </c>
      <c r="Y461" s="22">
        <v>0</v>
      </c>
      <c r="Z461" s="22">
        <v>0</v>
      </c>
      <c r="AA461" s="22">
        <v>0</v>
      </c>
      <c r="AB461" s="22">
        <v>0</v>
      </c>
      <c r="AC461" s="22">
        <v>0</v>
      </c>
      <c r="AD461" s="22">
        <v>0</v>
      </c>
      <c r="AE461" s="22">
        <v>0</v>
      </c>
      <c r="AF461" s="22">
        <v>2000</v>
      </c>
      <c r="AG461" s="22">
        <v>0</v>
      </c>
      <c r="AH461" s="22">
        <v>0</v>
      </c>
      <c r="AI461" s="22">
        <v>0</v>
      </c>
      <c r="AJ461" s="22">
        <v>0</v>
      </c>
      <c r="AK461" s="22">
        <v>0</v>
      </c>
      <c r="AL461" s="22">
        <v>0</v>
      </c>
      <c r="AM461" s="22">
        <v>0</v>
      </c>
      <c r="AN461" s="22">
        <v>0</v>
      </c>
      <c r="AO461" s="22">
        <v>0</v>
      </c>
      <c r="AP461" s="22">
        <v>0</v>
      </c>
      <c r="AQ461" s="22">
        <v>0</v>
      </c>
      <c r="AR461" s="22">
        <v>0</v>
      </c>
      <c r="AS461" s="22">
        <v>0</v>
      </c>
      <c r="AT461" s="22">
        <v>0</v>
      </c>
      <c r="AU461" s="19">
        <f t="shared" si="12"/>
        <v>2000</v>
      </c>
      <c r="AV461" s="22">
        <v>23666.67</v>
      </c>
      <c r="AW461" s="24" t="s">
        <v>54</v>
      </c>
      <c r="AX461" s="25">
        <v>45789</v>
      </c>
      <c r="AY461" s="15"/>
      <c r="AZ461" s="26"/>
      <c r="BA461" s="27">
        <f t="shared" si="16"/>
        <v>-3.3333333340124227E-3</v>
      </c>
      <c r="BB461" s="14"/>
      <c r="BC461" s="28"/>
    </row>
    <row r="462" spans="1:55" ht="28.8" x14ac:dyDescent="0.4">
      <c r="A462" s="15">
        <v>461</v>
      </c>
      <c r="B462" s="16">
        <v>1011</v>
      </c>
      <c r="C462" s="17" t="s">
        <v>685</v>
      </c>
      <c r="D462" s="16" t="s">
        <v>454</v>
      </c>
      <c r="E462" s="16" t="s">
        <v>487</v>
      </c>
      <c r="F462" s="16">
        <v>30</v>
      </c>
      <c r="G462" s="16">
        <v>29</v>
      </c>
      <c r="H462" s="18">
        <f t="shared" si="15"/>
        <v>1</v>
      </c>
      <c r="I462" s="19">
        <f t="shared" si="9"/>
        <v>726</v>
      </c>
      <c r="J462" s="16">
        <v>0</v>
      </c>
      <c r="K462" s="20">
        <v>0</v>
      </c>
      <c r="L462" s="21"/>
      <c r="M462" s="21"/>
      <c r="N462" s="16">
        <v>0</v>
      </c>
      <c r="O462" s="16">
        <v>0</v>
      </c>
      <c r="P462" s="16">
        <v>1</v>
      </c>
      <c r="Q462" s="16">
        <v>0</v>
      </c>
      <c r="R462" s="16">
        <v>0</v>
      </c>
      <c r="S462" s="22">
        <v>21780</v>
      </c>
      <c r="T462" s="19">
        <f t="shared" si="10"/>
        <v>0</v>
      </c>
      <c r="U462" s="19">
        <f t="shared" si="11"/>
        <v>21054</v>
      </c>
      <c r="V462" s="22">
        <v>21054</v>
      </c>
      <c r="W462" s="31">
        <v>0</v>
      </c>
      <c r="X462" s="22">
        <v>0</v>
      </c>
      <c r="Y462" s="22">
        <v>0</v>
      </c>
      <c r="Z462" s="22">
        <v>0</v>
      </c>
      <c r="AA462" s="22">
        <v>0</v>
      </c>
      <c r="AB462" s="22">
        <v>0</v>
      </c>
      <c r="AC462" s="22">
        <v>0</v>
      </c>
      <c r="AD462" s="22">
        <v>0</v>
      </c>
      <c r="AE462" s="22">
        <v>0</v>
      </c>
      <c r="AF462" s="22">
        <v>0</v>
      </c>
      <c r="AG462" s="22">
        <v>0</v>
      </c>
      <c r="AH462" s="22">
        <v>0</v>
      </c>
      <c r="AI462" s="22">
        <v>0</v>
      </c>
      <c r="AJ462" s="22">
        <v>0</v>
      </c>
      <c r="AK462" s="22">
        <v>0</v>
      </c>
      <c r="AL462" s="22">
        <v>0</v>
      </c>
      <c r="AM462" s="22">
        <v>0</v>
      </c>
      <c r="AN462" s="22">
        <v>0</v>
      </c>
      <c r="AO462" s="22">
        <v>0</v>
      </c>
      <c r="AP462" s="22">
        <v>0</v>
      </c>
      <c r="AQ462" s="22">
        <v>0</v>
      </c>
      <c r="AR462" s="22">
        <v>0</v>
      </c>
      <c r="AS462" s="22">
        <v>0</v>
      </c>
      <c r="AT462" s="22">
        <v>0</v>
      </c>
      <c r="AU462" s="19">
        <f t="shared" si="12"/>
        <v>0</v>
      </c>
      <c r="AV462" s="22">
        <v>21054</v>
      </c>
      <c r="AW462" s="24" t="s">
        <v>54</v>
      </c>
      <c r="AX462" s="25">
        <v>45789</v>
      </c>
      <c r="AY462" s="15"/>
      <c r="AZ462" s="26"/>
      <c r="BA462" s="27">
        <f t="shared" si="16"/>
        <v>0</v>
      </c>
      <c r="BB462" s="14"/>
      <c r="BC462" s="28"/>
    </row>
    <row r="463" spans="1:55" ht="28.8" x14ac:dyDescent="0.4">
      <c r="A463" s="15">
        <v>462</v>
      </c>
      <c r="B463" s="16">
        <v>1013</v>
      </c>
      <c r="C463" s="17" t="s">
        <v>685</v>
      </c>
      <c r="D463" s="16" t="s">
        <v>454</v>
      </c>
      <c r="E463" s="16" t="s">
        <v>687</v>
      </c>
      <c r="F463" s="16">
        <v>30</v>
      </c>
      <c r="G463" s="16">
        <v>25</v>
      </c>
      <c r="H463" s="18">
        <f t="shared" si="15"/>
        <v>5</v>
      </c>
      <c r="I463" s="19">
        <f t="shared" si="9"/>
        <v>6050</v>
      </c>
      <c r="J463" s="16">
        <v>3</v>
      </c>
      <c r="K463" s="33">
        <v>1</v>
      </c>
      <c r="L463" s="21"/>
      <c r="M463" s="21"/>
      <c r="N463" s="16">
        <v>0</v>
      </c>
      <c r="O463" s="16">
        <v>0</v>
      </c>
      <c r="P463" s="16">
        <v>2</v>
      </c>
      <c r="Q463" s="16">
        <v>0</v>
      </c>
      <c r="R463" s="16">
        <v>3</v>
      </c>
      <c r="S463" s="22">
        <v>36300</v>
      </c>
      <c r="T463" s="19">
        <f t="shared" si="10"/>
        <v>1210</v>
      </c>
      <c r="U463" s="19">
        <f t="shared" si="11"/>
        <v>30250</v>
      </c>
      <c r="V463" s="22">
        <v>26620</v>
      </c>
      <c r="W463" s="31">
        <f>2420+1210</f>
        <v>3630</v>
      </c>
      <c r="X463" s="22">
        <v>0</v>
      </c>
      <c r="Y463" s="22">
        <v>0</v>
      </c>
      <c r="Z463" s="22">
        <v>0</v>
      </c>
      <c r="AA463" s="22">
        <v>0</v>
      </c>
      <c r="AB463" s="22">
        <v>0</v>
      </c>
      <c r="AC463" s="22">
        <v>0</v>
      </c>
      <c r="AD463" s="22">
        <v>0</v>
      </c>
      <c r="AE463" s="22">
        <v>0</v>
      </c>
      <c r="AF463" s="22">
        <v>4000</v>
      </c>
      <c r="AG463" s="22">
        <v>0</v>
      </c>
      <c r="AH463" s="22">
        <v>0</v>
      </c>
      <c r="AI463" s="22">
        <v>0</v>
      </c>
      <c r="AJ463" s="22">
        <v>0</v>
      </c>
      <c r="AK463" s="22">
        <v>0</v>
      </c>
      <c r="AL463" s="22">
        <v>0</v>
      </c>
      <c r="AM463" s="22">
        <v>0</v>
      </c>
      <c r="AN463" s="22">
        <v>0</v>
      </c>
      <c r="AO463" s="22">
        <v>0</v>
      </c>
      <c r="AP463" s="22">
        <v>0</v>
      </c>
      <c r="AQ463" s="22">
        <v>0</v>
      </c>
      <c r="AR463" s="22">
        <v>0</v>
      </c>
      <c r="AS463" s="22">
        <v>0</v>
      </c>
      <c r="AT463" s="22">
        <v>0</v>
      </c>
      <c r="AU463" s="19">
        <f t="shared" si="12"/>
        <v>4000</v>
      </c>
      <c r="AV463" s="22">
        <f>25040+1210</f>
        <v>26250</v>
      </c>
      <c r="AW463" s="29" t="s">
        <v>54</v>
      </c>
      <c r="AX463" s="25">
        <v>45789</v>
      </c>
      <c r="AY463" s="15"/>
      <c r="AZ463" s="26"/>
      <c r="BA463" s="27">
        <f t="shared" si="16"/>
        <v>-1210</v>
      </c>
      <c r="BB463" s="14"/>
      <c r="BC463" s="28"/>
    </row>
    <row r="464" spans="1:55" ht="28.8" x14ac:dyDescent="0.4">
      <c r="A464" s="15">
        <v>463</v>
      </c>
      <c r="B464" s="16">
        <v>22017</v>
      </c>
      <c r="C464" s="17" t="s">
        <v>685</v>
      </c>
      <c r="D464" s="16" t="s">
        <v>685</v>
      </c>
      <c r="E464" s="16" t="s">
        <v>688</v>
      </c>
      <c r="F464" s="16">
        <v>30</v>
      </c>
      <c r="G464" s="16">
        <v>16</v>
      </c>
      <c r="H464" s="18">
        <f t="shared" si="15"/>
        <v>14</v>
      </c>
      <c r="I464" s="19">
        <f t="shared" si="9"/>
        <v>10733.333333333332</v>
      </c>
      <c r="J464" s="16">
        <v>1</v>
      </c>
      <c r="K464" s="20">
        <v>0</v>
      </c>
      <c r="L464" s="21"/>
      <c r="M464" s="21"/>
      <c r="N464" s="16">
        <v>0</v>
      </c>
      <c r="O464" s="16">
        <v>0</v>
      </c>
      <c r="P464" s="16">
        <v>0</v>
      </c>
      <c r="Q464" s="16">
        <v>0</v>
      </c>
      <c r="R464" s="16">
        <v>14</v>
      </c>
      <c r="S464" s="22">
        <v>23000</v>
      </c>
      <c r="T464" s="19">
        <f t="shared" si="10"/>
        <v>0</v>
      </c>
      <c r="U464" s="19">
        <f t="shared" si="11"/>
        <v>12267</v>
      </c>
      <c r="V464" s="22">
        <v>11500</v>
      </c>
      <c r="W464" s="31">
        <v>767</v>
      </c>
      <c r="X464" s="22">
        <v>0</v>
      </c>
      <c r="Y464" s="22">
        <v>0</v>
      </c>
      <c r="Z464" s="22">
        <v>0</v>
      </c>
      <c r="AA464" s="22">
        <v>0</v>
      </c>
      <c r="AB464" s="22">
        <v>0</v>
      </c>
      <c r="AC464" s="22">
        <v>0</v>
      </c>
      <c r="AD464" s="22">
        <v>0</v>
      </c>
      <c r="AE464" s="22">
        <v>0</v>
      </c>
      <c r="AF464" s="22">
        <v>0</v>
      </c>
      <c r="AG464" s="22">
        <v>0</v>
      </c>
      <c r="AH464" s="22">
        <v>0</v>
      </c>
      <c r="AI464" s="22">
        <v>0</v>
      </c>
      <c r="AJ464" s="22">
        <v>0</v>
      </c>
      <c r="AK464" s="22">
        <v>0</v>
      </c>
      <c r="AL464" s="22">
        <v>0</v>
      </c>
      <c r="AM464" s="22">
        <v>0</v>
      </c>
      <c r="AN464" s="22">
        <v>0</v>
      </c>
      <c r="AO464" s="22">
        <v>0</v>
      </c>
      <c r="AP464" s="22">
        <v>0</v>
      </c>
      <c r="AQ464" s="22">
        <v>0</v>
      </c>
      <c r="AR464" s="22">
        <v>0</v>
      </c>
      <c r="AS464" s="22">
        <v>0</v>
      </c>
      <c r="AT464" s="22">
        <v>0</v>
      </c>
      <c r="AU464" s="19">
        <f t="shared" si="12"/>
        <v>0</v>
      </c>
      <c r="AV464" s="22">
        <v>12266.67</v>
      </c>
      <c r="AW464" s="24" t="s">
        <v>54</v>
      </c>
      <c r="AX464" s="25">
        <v>45789</v>
      </c>
      <c r="AY464" s="15"/>
      <c r="AZ464" s="26"/>
      <c r="BA464" s="27">
        <f t="shared" si="16"/>
        <v>-3.3333333340124227E-3</v>
      </c>
      <c r="BB464" s="14"/>
      <c r="BC464" s="28"/>
    </row>
    <row r="465" spans="1:55" ht="42.6" x14ac:dyDescent="0.4">
      <c r="A465" s="15">
        <v>464</v>
      </c>
      <c r="B465" s="16">
        <v>26008</v>
      </c>
      <c r="C465" s="17" t="s">
        <v>685</v>
      </c>
      <c r="D465" s="16" t="s">
        <v>685</v>
      </c>
      <c r="E465" s="16" t="s">
        <v>689</v>
      </c>
      <c r="F465" s="16">
        <v>30</v>
      </c>
      <c r="G465" s="16">
        <v>26</v>
      </c>
      <c r="H465" s="18">
        <f t="shared" si="15"/>
        <v>4</v>
      </c>
      <c r="I465" s="19">
        <f t="shared" si="9"/>
        <v>3666.6666666666665</v>
      </c>
      <c r="J465" s="16">
        <v>5</v>
      </c>
      <c r="K465" s="20">
        <v>2</v>
      </c>
      <c r="L465" s="21"/>
      <c r="M465" s="21"/>
      <c r="N465" s="16">
        <v>0</v>
      </c>
      <c r="O465" s="16">
        <v>0</v>
      </c>
      <c r="P465" s="16">
        <v>3</v>
      </c>
      <c r="Q465" s="16">
        <v>0</v>
      </c>
      <c r="R465" s="16">
        <v>1</v>
      </c>
      <c r="S465" s="22">
        <v>27500</v>
      </c>
      <c r="T465" s="19">
        <f t="shared" si="10"/>
        <v>1833.3333333333333</v>
      </c>
      <c r="U465" s="19">
        <f t="shared" si="11"/>
        <v>22000</v>
      </c>
      <c r="V465" s="22">
        <v>19250</v>
      </c>
      <c r="W465" s="31">
        <v>2750</v>
      </c>
      <c r="X465" s="22">
        <v>0</v>
      </c>
      <c r="Y465" s="22">
        <v>0</v>
      </c>
      <c r="Z465" s="22">
        <v>0</v>
      </c>
      <c r="AA465" s="22">
        <v>0</v>
      </c>
      <c r="AB465" s="22">
        <v>0</v>
      </c>
      <c r="AC465" s="22">
        <v>0</v>
      </c>
      <c r="AD465" s="22">
        <v>0</v>
      </c>
      <c r="AE465" s="22">
        <v>0</v>
      </c>
      <c r="AF465" s="22">
        <v>5000</v>
      </c>
      <c r="AG465" s="22">
        <v>0</v>
      </c>
      <c r="AH465" s="22">
        <v>0</v>
      </c>
      <c r="AI465" s="22">
        <v>0</v>
      </c>
      <c r="AJ465" s="22">
        <v>0</v>
      </c>
      <c r="AK465" s="22">
        <v>0</v>
      </c>
      <c r="AL465" s="22">
        <v>0</v>
      </c>
      <c r="AM465" s="22">
        <v>0</v>
      </c>
      <c r="AN465" s="22">
        <v>0</v>
      </c>
      <c r="AO465" s="22">
        <v>0</v>
      </c>
      <c r="AP465" s="22">
        <v>0</v>
      </c>
      <c r="AQ465" s="22">
        <v>0</v>
      </c>
      <c r="AR465" s="22">
        <v>0</v>
      </c>
      <c r="AS465" s="22">
        <v>0</v>
      </c>
      <c r="AT465" s="22">
        <v>0</v>
      </c>
      <c r="AU465" s="19">
        <f t="shared" si="12"/>
        <v>5000</v>
      </c>
      <c r="AV465" s="22">
        <v>17000</v>
      </c>
      <c r="AW465" s="24" t="s">
        <v>54</v>
      </c>
      <c r="AX465" s="25">
        <v>45789</v>
      </c>
      <c r="AY465" s="15"/>
      <c r="AZ465" s="26"/>
      <c r="BA465" s="27">
        <f t="shared" si="16"/>
        <v>0</v>
      </c>
      <c r="BB465" s="14"/>
      <c r="BC465" s="28"/>
    </row>
    <row r="466" spans="1:55" ht="28.8" x14ac:dyDescent="0.4">
      <c r="A466" s="15">
        <v>465</v>
      </c>
      <c r="B466" s="16">
        <v>1017</v>
      </c>
      <c r="C466" s="17" t="s">
        <v>685</v>
      </c>
      <c r="D466" s="16" t="s">
        <v>454</v>
      </c>
      <c r="E466" s="16" t="s">
        <v>690</v>
      </c>
      <c r="F466" s="16">
        <v>30</v>
      </c>
      <c r="G466" s="16">
        <v>30</v>
      </c>
      <c r="H466" s="18">
        <f t="shared" si="15"/>
        <v>0</v>
      </c>
      <c r="I466" s="19">
        <f t="shared" si="9"/>
        <v>0</v>
      </c>
      <c r="J466" s="16">
        <v>1</v>
      </c>
      <c r="K466" s="20">
        <v>0</v>
      </c>
      <c r="L466" s="21"/>
      <c r="M466" s="21"/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32">
        <v>35000</v>
      </c>
      <c r="T466" s="19">
        <f t="shared" si="10"/>
        <v>0</v>
      </c>
      <c r="U466" s="19">
        <f t="shared" si="11"/>
        <v>35000</v>
      </c>
      <c r="V466" s="22">
        <v>33833</v>
      </c>
      <c r="W466" s="31">
        <v>1167</v>
      </c>
      <c r="X466" s="22">
        <v>0</v>
      </c>
      <c r="Y466" s="22">
        <v>0</v>
      </c>
      <c r="Z466" s="22">
        <v>0</v>
      </c>
      <c r="AA466" s="22">
        <v>0</v>
      </c>
      <c r="AB466" s="22">
        <v>0</v>
      </c>
      <c r="AC466" s="22">
        <v>0</v>
      </c>
      <c r="AD466" s="22">
        <v>0</v>
      </c>
      <c r="AE466" s="22">
        <v>0</v>
      </c>
      <c r="AF466" s="22">
        <v>4000</v>
      </c>
      <c r="AG466" s="22">
        <v>0</v>
      </c>
      <c r="AH466" s="22">
        <v>0</v>
      </c>
      <c r="AI466" s="22">
        <v>0</v>
      </c>
      <c r="AJ466" s="22">
        <v>0</v>
      </c>
      <c r="AK466" s="22">
        <v>0</v>
      </c>
      <c r="AL466" s="22">
        <v>0</v>
      </c>
      <c r="AM466" s="22">
        <v>0</v>
      </c>
      <c r="AN466" s="22">
        <v>0</v>
      </c>
      <c r="AO466" s="22">
        <v>0</v>
      </c>
      <c r="AP466" s="22">
        <v>0</v>
      </c>
      <c r="AQ466" s="22">
        <v>0</v>
      </c>
      <c r="AR466" s="22">
        <v>0</v>
      </c>
      <c r="AS466" s="22">
        <v>0</v>
      </c>
      <c r="AT466" s="22">
        <v>0</v>
      </c>
      <c r="AU466" s="19">
        <f t="shared" si="12"/>
        <v>4000</v>
      </c>
      <c r="AV466" s="22">
        <v>31000</v>
      </c>
      <c r="AW466" s="24" t="s">
        <v>54</v>
      </c>
      <c r="AX466" s="25">
        <v>45789</v>
      </c>
      <c r="AY466" s="15"/>
      <c r="AZ466" s="26"/>
      <c r="BA466" s="27">
        <f t="shared" si="16"/>
        <v>0</v>
      </c>
      <c r="BB466" s="14"/>
      <c r="BC466" s="28"/>
    </row>
    <row r="467" spans="1:55" ht="28.8" x14ac:dyDescent="0.4">
      <c r="A467" s="15">
        <v>466</v>
      </c>
      <c r="B467" s="16">
        <v>22102</v>
      </c>
      <c r="C467" s="17" t="s">
        <v>685</v>
      </c>
      <c r="D467" s="16" t="s">
        <v>454</v>
      </c>
      <c r="E467" s="16" t="s">
        <v>691</v>
      </c>
      <c r="F467" s="16">
        <v>30</v>
      </c>
      <c r="G467" s="16">
        <v>29</v>
      </c>
      <c r="H467" s="18">
        <f t="shared" si="15"/>
        <v>1</v>
      </c>
      <c r="I467" s="19">
        <f t="shared" si="9"/>
        <v>806.66666666666663</v>
      </c>
      <c r="J467" s="16">
        <v>0</v>
      </c>
      <c r="K467" s="20">
        <v>0</v>
      </c>
      <c r="L467" s="21"/>
      <c r="M467" s="21"/>
      <c r="N467" s="16">
        <v>0</v>
      </c>
      <c r="O467" s="16">
        <v>0</v>
      </c>
      <c r="P467" s="16">
        <v>1</v>
      </c>
      <c r="Q467" s="16">
        <v>0</v>
      </c>
      <c r="R467" s="16">
        <v>0</v>
      </c>
      <c r="S467" s="22">
        <v>24200</v>
      </c>
      <c r="T467" s="19">
        <f t="shared" si="10"/>
        <v>0</v>
      </c>
      <c r="U467" s="19">
        <f t="shared" si="11"/>
        <v>23393</v>
      </c>
      <c r="V467" s="22">
        <v>23393</v>
      </c>
      <c r="W467" s="31">
        <v>0</v>
      </c>
      <c r="X467" s="22">
        <v>0</v>
      </c>
      <c r="Y467" s="22">
        <v>0</v>
      </c>
      <c r="Z467" s="22">
        <v>0</v>
      </c>
      <c r="AA467" s="22">
        <v>0</v>
      </c>
      <c r="AB467" s="22">
        <v>0</v>
      </c>
      <c r="AC467" s="22">
        <v>0</v>
      </c>
      <c r="AD467" s="22">
        <v>0</v>
      </c>
      <c r="AE467" s="22">
        <v>0</v>
      </c>
      <c r="AF467" s="22">
        <v>3000</v>
      </c>
      <c r="AG467" s="22">
        <v>0</v>
      </c>
      <c r="AH467" s="22">
        <v>0</v>
      </c>
      <c r="AI467" s="22">
        <v>0</v>
      </c>
      <c r="AJ467" s="22">
        <v>0</v>
      </c>
      <c r="AK467" s="22">
        <v>0</v>
      </c>
      <c r="AL467" s="22">
        <v>0</v>
      </c>
      <c r="AM467" s="22">
        <v>0</v>
      </c>
      <c r="AN467" s="22">
        <v>0</v>
      </c>
      <c r="AO467" s="22">
        <v>0</v>
      </c>
      <c r="AP467" s="22">
        <v>0</v>
      </c>
      <c r="AQ467" s="22">
        <v>0</v>
      </c>
      <c r="AR467" s="22">
        <v>0</v>
      </c>
      <c r="AS467" s="22">
        <v>0</v>
      </c>
      <c r="AT467" s="22">
        <v>0</v>
      </c>
      <c r="AU467" s="19">
        <f t="shared" si="12"/>
        <v>3000</v>
      </c>
      <c r="AV467" s="22">
        <v>20393.330000000002</v>
      </c>
      <c r="AW467" s="24" t="s">
        <v>54</v>
      </c>
      <c r="AX467" s="25">
        <v>45789</v>
      </c>
      <c r="AY467" s="15"/>
      <c r="AZ467" s="26"/>
      <c r="BA467" s="27">
        <f t="shared" si="16"/>
        <v>3.3333333303744439E-3</v>
      </c>
      <c r="BB467" s="14"/>
      <c r="BC467" s="28"/>
    </row>
    <row r="468" spans="1:55" ht="28.8" x14ac:dyDescent="0.4">
      <c r="A468" s="15">
        <v>467</v>
      </c>
      <c r="B468" s="16">
        <v>22148</v>
      </c>
      <c r="C468" s="17" t="s">
        <v>685</v>
      </c>
      <c r="D468" s="16" t="s">
        <v>685</v>
      </c>
      <c r="E468" s="16" t="s">
        <v>554</v>
      </c>
      <c r="F468" s="16">
        <v>30</v>
      </c>
      <c r="G468" s="16">
        <v>20</v>
      </c>
      <c r="H468" s="18">
        <f t="shared" si="15"/>
        <v>10</v>
      </c>
      <c r="I468" s="19">
        <f t="shared" si="9"/>
        <v>5866.6666666666661</v>
      </c>
      <c r="J468" s="16">
        <v>1</v>
      </c>
      <c r="K468" s="20">
        <v>0</v>
      </c>
      <c r="L468" s="21"/>
      <c r="M468" s="21"/>
      <c r="N468" s="16">
        <v>0</v>
      </c>
      <c r="O468" s="16">
        <v>0</v>
      </c>
      <c r="P468" s="16">
        <v>0</v>
      </c>
      <c r="Q468" s="16">
        <v>0</v>
      </c>
      <c r="R468" s="16">
        <v>10</v>
      </c>
      <c r="S468" s="22">
        <v>17600</v>
      </c>
      <c r="T468" s="19">
        <f t="shared" si="10"/>
        <v>0</v>
      </c>
      <c r="U468" s="19">
        <f t="shared" si="11"/>
        <v>11734</v>
      </c>
      <c r="V468" s="22">
        <v>11147</v>
      </c>
      <c r="W468" s="31">
        <v>587</v>
      </c>
      <c r="X468" s="22">
        <v>0</v>
      </c>
      <c r="Y468" s="22">
        <v>0</v>
      </c>
      <c r="Z468" s="22">
        <v>0</v>
      </c>
      <c r="AA468" s="22">
        <v>0</v>
      </c>
      <c r="AB468" s="22">
        <v>0</v>
      </c>
      <c r="AC468" s="22">
        <v>0</v>
      </c>
      <c r="AD468" s="22">
        <v>0</v>
      </c>
      <c r="AE468" s="22">
        <v>0</v>
      </c>
      <c r="AF468" s="22">
        <v>0</v>
      </c>
      <c r="AG468" s="22">
        <v>0</v>
      </c>
      <c r="AH468" s="22">
        <v>0</v>
      </c>
      <c r="AI468" s="22">
        <v>0</v>
      </c>
      <c r="AJ468" s="22">
        <v>0</v>
      </c>
      <c r="AK468" s="22">
        <v>0</v>
      </c>
      <c r="AL468" s="22">
        <v>0</v>
      </c>
      <c r="AM468" s="22">
        <v>0</v>
      </c>
      <c r="AN468" s="22">
        <v>0</v>
      </c>
      <c r="AO468" s="22">
        <v>0</v>
      </c>
      <c r="AP468" s="22">
        <v>0</v>
      </c>
      <c r="AQ468" s="22">
        <v>0</v>
      </c>
      <c r="AR468" s="22">
        <v>0</v>
      </c>
      <c r="AS468" s="22">
        <v>0</v>
      </c>
      <c r="AT468" s="22">
        <v>0</v>
      </c>
      <c r="AU468" s="19">
        <f t="shared" si="12"/>
        <v>0</v>
      </c>
      <c r="AV468" s="22">
        <v>11733.33</v>
      </c>
      <c r="AW468" s="24" t="s">
        <v>54</v>
      </c>
      <c r="AX468" s="25">
        <v>45790</v>
      </c>
      <c r="AY468" s="15"/>
      <c r="AZ468" s="26"/>
      <c r="BA468" s="27">
        <f t="shared" si="16"/>
        <v>3.3333333321934333E-3</v>
      </c>
      <c r="BB468" s="14"/>
      <c r="BC468" s="28"/>
    </row>
    <row r="469" spans="1:55" ht="56.4" x14ac:dyDescent="0.4">
      <c r="A469" s="15">
        <v>468</v>
      </c>
      <c r="B469" s="16">
        <v>22177</v>
      </c>
      <c r="C469" s="17" t="s">
        <v>685</v>
      </c>
      <c r="D469" s="16" t="s">
        <v>692</v>
      </c>
      <c r="E469" s="16" t="s">
        <v>693</v>
      </c>
      <c r="F469" s="16">
        <v>30</v>
      </c>
      <c r="G469" s="16">
        <v>27</v>
      </c>
      <c r="H469" s="18">
        <f t="shared" si="15"/>
        <v>3</v>
      </c>
      <c r="I469" s="19">
        <f t="shared" si="9"/>
        <v>1980</v>
      </c>
      <c r="J469" s="16">
        <v>0</v>
      </c>
      <c r="K469" s="20">
        <v>0</v>
      </c>
      <c r="L469" s="21"/>
      <c r="M469" s="21"/>
      <c r="N469" s="16">
        <v>0</v>
      </c>
      <c r="O469" s="16">
        <v>0</v>
      </c>
      <c r="P469" s="16">
        <v>3</v>
      </c>
      <c r="Q469" s="16">
        <v>0</v>
      </c>
      <c r="R469" s="16">
        <v>0</v>
      </c>
      <c r="S469" s="22">
        <v>19800</v>
      </c>
      <c r="T469" s="19">
        <f t="shared" si="10"/>
        <v>0</v>
      </c>
      <c r="U469" s="19">
        <f t="shared" si="11"/>
        <v>17820</v>
      </c>
      <c r="V469" s="22">
        <v>17820</v>
      </c>
      <c r="W469" s="31">
        <v>0</v>
      </c>
      <c r="X469" s="22">
        <v>0</v>
      </c>
      <c r="Y469" s="22">
        <v>0</v>
      </c>
      <c r="Z469" s="22">
        <v>0</v>
      </c>
      <c r="AA469" s="22">
        <v>0</v>
      </c>
      <c r="AB469" s="22">
        <v>0</v>
      </c>
      <c r="AC469" s="22">
        <v>0</v>
      </c>
      <c r="AD469" s="22">
        <v>0</v>
      </c>
      <c r="AE469" s="22">
        <v>0</v>
      </c>
      <c r="AF469" s="22">
        <v>2000</v>
      </c>
      <c r="AG469" s="22">
        <v>0</v>
      </c>
      <c r="AH469" s="22">
        <v>0</v>
      </c>
      <c r="AI469" s="22">
        <v>0</v>
      </c>
      <c r="AJ469" s="22">
        <v>0</v>
      </c>
      <c r="AK469" s="22">
        <v>0</v>
      </c>
      <c r="AL469" s="22">
        <v>0</v>
      </c>
      <c r="AM469" s="22">
        <v>0</v>
      </c>
      <c r="AN469" s="22">
        <v>0</v>
      </c>
      <c r="AO469" s="22">
        <v>0</v>
      </c>
      <c r="AP469" s="22">
        <v>0</v>
      </c>
      <c r="AQ469" s="22">
        <v>0</v>
      </c>
      <c r="AR469" s="22">
        <v>0</v>
      </c>
      <c r="AS469" s="22">
        <v>0</v>
      </c>
      <c r="AT469" s="22">
        <v>0</v>
      </c>
      <c r="AU469" s="19">
        <f t="shared" si="12"/>
        <v>2000</v>
      </c>
      <c r="AV469" s="22">
        <v>15820</v>
      </c>
      <c r="AW469" s="24" t="s">
        <v>54</v>
      </c>
      <c r="AX469" s="25">
        <v>45789</v>
      </c>
      <c r="AY469" s="15"/>
      <c r="AZ469" s="26"/>
      <c r="BA469" s="27">
        <f t="shared" si="16"/>
        <v>0</v>
      </c>
      <c r="BB469" s="14"/>
      <c r="BC469" s="28"/>
    </row>
    <row r="470" spans="1:55" ht="28.8" x14ac:dyDescent="0.4">
      <c r="A470" s="15">
        <v>469</v>
      </c>
      <c r="B470" s="16">
        <v>1024</v>
      </c>
      <c r="C470" s="17" t="s">
        <v>685</v>
      </c>
      <c r="D470" s="16" t="s">
        <v>454</v>
      </c>
      <c r="E470" s="16" t="s">
        <v>694</v>
      </c>
      <c r="F470" s="16">
        <v>30</v>
      </c>
      <c r="G470" s="16">
        <v>30</v>
      </c>
      <c r="H470" s="18">
        <f t="shared" si="15"/>
        <v>0</v>
      </c>
      <c r="I470" s="19">
        <f t="shared" si="9"/>
        <v>0</v>
      </c>
      <c r="J470" s="16">
        <v>1</v>
      </c>
      <c r="K470" s="20">
        <v>0</v>
      </c>
      <c r="L470" s="21"/>
      <c r="M470" s="21"/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32">
        <v>33000</v>
      </c>
      <c r="T470" s="19">
        <f t="shared" si="10"/>
        <v>0</v>
      </c>
      <c r="U470" s="19">
        <f t="shared" si="11"/>
        <v>33000</v>
      </c>
      <c r="V470" s="22">
        <v>31900</v>
      </c>
      <c r="W470" s="31">
        <v>1100</v>
      </c>
      <c r="X470" s="22">
        <v>0</v>
      </c>
      <c r="Y470" s="22">
        <v>0</v>
      </c>
      <c r="Z470" s="22">
        <v>0</v>
      </c>
      <c r="AA470" s="22">
        <v>0</v>
      </c>
      <c r="AB470" s="32">
        <v>5000</v>
      </c>
      <c r="AC470" s="22">
        <v>0</v>
      </c>
      <c r="AD470" s="22">
        <v>0</v>
      </c>
      <c r="AE470" s="22">
        <v>0</v>
      </c>
      <c r="AF470" s="22">
        <v>5000</v>
      </c>
      <c r="AG470" s="22">
        <v>0</v>
      </c>
      <c r="AH470" s="22">
        <v>0</v>
      </c>
      <c r="AI470" s="22">
        <v>0</v>
      </c>
      <c r="AJ470" s="22">
        <v>0</v>
      </c>
      <c r="AK470" s="22">
        <v>0</v>
      </c>
      <c r="AL470" s="22">
        <v>0</v>
      </c>
      <c r="AM470" s="22">
        <v>0</v>
      </c>
      <c r="AN470" s="22">
        <v>0</v>
      </c>
      <c r="AO470" s="22">
        <v>0</v>
      </c>
      <c r="AP470" s="22">
        <v>0</v>
      </c>
      <c r="AQ470" s="22">
        <v>0</v>
      </c>
      <c r="AR470" s="22">
        <v>0</v>
      </c>
      <c r="AS470" s="22">
        <v>0</v>
      </c>
      <c r="AT470" s="22">
        <v>0</v>
      </c>
      <c r="AU470" s="19">
        <f t="shared" si="12"/>
        <v>10000</v>
      </c>
      <c r="AV470" s="22">
        <f>28000-5000</f>
        <v>23000</v>
      </c>
      <c r="AW470" s="24" t="s">
        <v>54</v>
      </c>
      <c r="AX470" s="25">
        <v>45789</v>
      </c>
      <c r="AY470" s="15"/>
      <c r="AZ470" s="26"/>
      <c r="BA470" s="27">
        <f t="shared" si="16"/>
        <v>0</v>
      </c>
      <c r="BB470" s="14"/>
      <c r="BC470" s="28"/>
    </row>
    <row r="471" spans="1:55" ht="28.8" x14ac:dyDescent="0.4">
      <c r="A471" s="15">
        <v>470</v>
      </c>
      <c r="B471" s="16">
        <v>1028</v>
      </c>
      <c r="C471" s="17" t="s">
        <v>685</v>
      </c>
      <c r="D471" s="16" t="s">
        <v>454</v>
      </c>
      <c r="E471" s="16" t="s">
        <v>695</v>
      </c>
      <c r="F471" s="16">
        <v>30</v>
      </c>
      <c r="G471" s="16">
        <v>29</v>
      </c>
      <c r="H471" s="18">
        <f t="shared" si="15"/>
        <v>1</v>
      </c>
      <c r="I471" s="19">
        <f t="shared" si="9"/>
        <v>916.66666666666663</v>
      </c>
      <c r="J471" s="16">
        <v>1</v>
      </c>
      <c r="K471" s="20">
        <v>0</v>
      </c>
      <c r="L471" s="21"/>
      <c r="M471" s="21"/>
      <c r="N471" s="16">
        <v>0</v>
      </c>
      <c r="O471" s="16">
        <v>0</v>
      </c>
      <c r="P471" s="16">
        <v>1</v>
      </c>
      <c r="Q471" s="16">
        <v>0</v>
      </c>
      <c r="R471" s="16">
        <v>0</v>
      </c>
      <c r="S471" s="22">
        <v>27500</v>
      </c>
      <c r="T471" s="19">
        <f t="shared" si="10"/>
        <v>0</v>
      </c>
      <c r="U471" s="19">
        <f t="shared" si="11"/>
        <v>26584</v>
      </c>
      <c r="V471" s="22">
        <v>25667</v>
      </c>
      <c r="W471" s="31">
        <v>917</v>
      </c>
      <c r="X471" s="22">
        <v>0</v>
      </c>
      <c r="Y471" s="22">
        <v>0</v>
      </c>
      <c r="Z471" s="22">
        <v>0</v>
      </c>
      <c r="AA471" s="22">
        <v>0</v>
      </c>
      <c r="AB471" s="22">
        <v>0</v>
      </c>
      <c r="AC471" s="22">
        <v>0</v>
      </c>
      <c r="AD471" s="22">
        <v>0</v>
      </c>
      <c r="AE471" s="22">
        <v>0</v>
      </c>
      <c r="AF471" s="22">
        <v>3000</v>
      </c>
      <c r="AG471" s="22">
        <v>0</v>
      </c>
      <c r="AH471" s="22">
        <v>0</v>
      </c>
      <c r="AI471" s="22">
        <v>0</v>
      </c>
      <c r="AJ471" s="22">
        <v>0</v>
      </c>
      <c r="AK471" s="22">
        <v>0</v>
      </c>
      <c r="AL471" s="22">
        <v>0</v>
      </c>
      <c r="AM471" s="22">
        <v>0</v>
      </c>
      <c r="AN471" s="22">
        <v>0</v>
      </c>
      <c r="AO471" s="22">
        <v>0</v>
      </c>
      <c r="AP471" s="22">
        <v>0</v>
      </c>
      <c r="AQ471" s="22">
        <v>0</v>
      </c>
      <c r="AR471" s="22">
        <v>0</v>
      </c>
      <c r="AS471" s="22">
        <v>0</v>
      </c>
      <c r="AT471" s="22">
        <v>0</v>
      </c>
      <c r="AU471" s="19">
        <f t="shared" si="12"/>
        <v>3000</v>
      </c>
      <c r="AV471" s="22">
        <v>23583.33</v>
      </c>
      <c r="AW471" s="24" t="s">
        <v>54</v>
      </c>
      <c r="AX471" s="25">
        <v>45789</v>
      </c>
      <c r="AY471" s="15"/>
      <c r="AZ471" s="26"/>
      <c r="BA471" s="27">
        <f t="shared" si="16"/>
        <v>3.3333333303744439E-3</v>
      </c>
      <c r="BB471" s="14"/>
      <c r="BC471" s="28"/>
    </row>
    <row r="472" spans="1:55" ht="28.8" x14ac:dyDescent="0.4">
      <c r="A472" s="15">
        <v>471</v>
      </c>
      <c r="B472" s="16">
        <v>26047</v>
      </c>
      <c r="C472" s="17" t="s">
        <v>685</v>
      </c>
      <c r="D472" s="16" t="s">
        <v>696</v>
      </c>
      <c r="E472" s="16" t="s">
        <v>440</v>
      </c>
      <c r="F472" s="16">
        <v>30</v>
      </c>
      <c r="G472" s="16">
        <v>28</v>
      </c>
      <c r="H472" s="18">
        <f t="shared" si="15"/>
        <v>2</v>
      </c>
      <c r="I472" s="19">
        <f t="shared" si="9"/>
        <v>1066.6666666666667</v>
      </c>
      <c r="J472" s="16">
        <v>0</v>
      </c>
      <c r="K472" s="20">
        <v>0</v>
      </c>
      <c r="L472" s="21"/>
      <c r="M472" s="21"/>
      <c r="N472" s="16">
        <v>0</v>
      </c>
      <c r="O472" s="16">
        <v>0</v>
      </c>
      <c r="P472" s="16">
        <v>2</v>
      </c>
      <c r="Q472" s="16">
        <v>0</v>
      </c>
      <c r="R472" s="16">
        <v>0</v>
      </c>
      <c r="S472" s="22">
        <v>16000</v>
      </c>
      <c r="T472" s="19">
        <f t="shared" si="10"/>
        <v>0</v>
      </c>
      <c r="U472" s="19">
        <f t="shared" si="11"/>
        <v>14933</v>
      </c>
      <c r="V472" s="22">
        <v>14933</v>
      </c>
      <c r="W472" s="31">
        <v>0</v>
      </c>
      <c r="X472" s="22">
        <v>0</v>
      </c>
      <c r="Y472" s="22">
        <v>0</v>
      </c>
      <c r="Z472" s="22">
        <v>0</v>
      </c>
      <c r="AA472" s="22">
        <v>0</v>
      </c>
      <c r="AB472" s="22">
        <v>0</v>
      </c>
      <c r="AC472" s="22">
        <v>0</v>
      </c>
      <c r="AD472" s="22">
        <v>0</v>
      </c>
      <c r="AE472" s="22">
        <v>0</v>
      </c>
      <c r="AF472" s="22">
        <v>0</v>
      </c>
      <c r="AG472" s="22">
        <v>0</v>
      </c>
      <c r="AH472" s="22">
        <v>0</v>
      </c>
      <c r="AI472" s="22">
        <v>0</v>
      </c>
      <c r="AJ472" s="22">
        <v>0</v>
      </c>
      <c r="AK472" s="22">
        <v>0</v>
      </c>
      <c r="AL472" s="22">
        <v>0</v>
      </c>
      <c r="AM472" s="22">
        <v>0</v>
      </c>
      <c r="AN472" s="22">
        <v>0</v>
      </c>
      <c r="AO472" s="22">
        <v>0</v>
      </c>
      <c r="AP472" s="22">
        <v>0</v>
      </c>
      <c r="AQ472" s="22">
        <v>0</v>
      </c>
      <c r="AR472" s="22">
        <v>0</v>
      </c>
      <c r="AS472" s="22">
        <v>0</v>
      </c>
      <c r="AT472" s="22">
        <v>0</v>
      </c>
      <c r="AU472" s="19">
        <f t="shared" si="12"/>
        <v>0</v>
      </c>
      <c r="AV472" s="22">
        <v>14933.33</v>
      </c>
      <c r="AW472" s="24" t="s">
        <v>54</v>
      </c>
      <c r="AX472" s="25">
        <v>45789</v>
      </c>
      <c r="AY472" s="15"/>
      <c r="AZ472" s="26"/>
      <c r="BA472" s="27">
        <f t="shared" si="16"/>
        <v>3.3333333340124227E-3</v>
      </c>
      <c r="BB472" s="14"/>
      <c r="BC472" s="28"/>
    </row>
    <row r="473" spans="1:55" ht="42.6" x14ac:dyDescent="0.4">
      <c r="A473" s="15">
        <v>472</v>
      </c>
      <c r="B473" s="16">
        <v>1029</v>
      </c>
      <c r="C473" s="17" t="s">
        <v>685</v>
      </c>
      <c r="D473" s="16" t="s">
        <v>697</v>
      </c>
      <c r="E473" s="16" t="s">
        <v>698</v>
      </c>
      <c r="F473" s="16">
        <v>30</v>
      </c>
      <c r="G473" s="16">
        <v>29</v>
      </c>
      <c r="H473" s="18">
        <f t="shared" si="15"/>
        <v>1</v>
      </c>
      <c r="I473" s="19">
        <f t="shared" si="9"/>
        <v>806.66666666666663</v>
      </c>
      <c r="J473" s="16">
        <v>0</v>
      </c>
      <c r="K473" s="20">
        <v>0</v>
      </c>
      <c r="L473" s="21"/>
      <c r="M473" s="21"/>
      <c r="N473" s="16">
        <v>0</v>
      </c>
      <c r="O473" s="16">
        <v>0</v>
      </c>
      <c r="P473" s="16">
        <v>1</v>
      </c>
      <c r="Q473" s="16">
        <v>0</v>
      </c>
      <c r="R473" s="16">
        <v>0</v>
      </c>
      <c r="S473" s="32">
        <v>24200</v>
      </c>
      <c r="T473" s="19">
        <f t="shared" si="10"/>
        <v>0</v>
      </c>
      <c r="U473" s="19">
        <f t="shared" si="11"/>
        <v>23393</v>
      </c>
      <c r="V473" s="22">
        <v>23393</v>
      </c>
      <c r="W473" s="31">
        <v>0</v>
      </c>
      <c r="X473" s="22">
        <v>0</v>
      </c>
      <c r="Y473" s="22">
        <v>0</v>
      </c>
      <c r="Z473" s="22">
        <v>0</v>
      </c>
      <c r="AA473" s="22">
        <v>0</v>
      </c>
      <c r="AB473" s="22">
        <v>0</v>
      </c>
      <c r="AC473" s="22">
        <v>0</v>
      </c>
      <c r="AD473" s="22">
        <v>0</v>
      </c>
      <c r="AE473" s="22">
        <v>0</v>
      </c>
      <c r="AF473" s="22">
        <v>4000</v>
      </c>
      <c r="AG473" s="22">
        <v>0</v>
      </c>
      <c r="AH473" s="22">
        <v>0</v>
      </c>
      <c r="AI473" s="22">
        <v>0</v>
      </c>
      <c r="AJ473" s="22">
        <v>0</v>
      </c>
      <c r="AK473" s="22">
        <v>0</v>
      </c>
      <c r="AL473" s="22">
        <v>0</v>
      </c>
      <c r="AM473" s="22">
        <v>0</v>
      </c>
      <c r="AN473" s="22">
        <v>0</v>
      </c>
      <c r="AO473" s="22">
        <v>0</v>
      </c>
      <c r="AP473" s="22">
        <v>0</v>
      </c>
      <c r="AQ473" s="22">
        <v>0</v>
      </c>
      <c r="AR473" s="22">
        <v>0</v>
      </c>
      <c r="AS473" s="22">
        <v>0</v>
      </c>
      <c r="AT473" s="22">
        <v>0</v>
      </c>
      <c r="AU473" s="19">
        <f t="shared" si="12"/>
        <v>4000</v>
      </c>
      <c r="AV473" s="22">
        <v>19393.330000000002</v>
      </c>
      <c r="AW473" s="24" t="s">
        <v>54</v>
      </c>
      <c r="AX473" s="25">
        <v>45789</v>
      </c>
      <c r="AY473" s="15"/>
      <c r="AZ473" s="26"/>
      <c r="BA473" s="27">
        <f t="shared" si="16"/>
        <v>3.3333333303744439E-3</v>
      </c>
      <c r="BB473" s="14"/>
      <c r="BC473" s="28"/>
    </row>
    <row r="474" spans="1:55" ht="42.6" x14ac:dyDescent="0.4">
      <c r="A474" s="15">
        <v>473</v>
      </c>
      <c r="B474" s="16">
        <v>80351</v>
      </c>
      <c r="C474" s="17" t="s">
        <v>699</v>
      </c>
      <c r="D474" s="16" t="s">
        <v>700</v>
      </c>
      <c r="E474" s="16" t="s">
        <v>701</v>
      </c>
      <c r="F474" s="16">
        <v>30</v>
      </c>
      <c r="G474" s="16">
        <v>30</v>
      </c>
      <c r="H474" s="18">
        <f t="shared" si="15"/>
        <v>0</v>
      </c>
      <c r="I474" s="19">
        <f t="shared" si="9"/>
        <v>0</v>
      </c>
      <c r="J474" s="16">
        <v>1</v>
      </c>
      <c r="K474" s="20">
        <v>0</v>
      </c>
      <c r="L474" s="21"/>
      <c r="M474" s="21"/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22">
        <v>27500</v>
      </c>
      <c r="T474" s="19">
        <f t="shared" si="10"/>
        <v>0</v>
      </c>
      <c r="U474" s="19">
        <f t="shared" si="11"/>
        <v>27500</v>
      </c>
      <c r="V474" s="22">
        <v>26583</v>
      </c>
      <c r="W474" s="31">
        <v>917</v>
      </c>
      <c r="X474" s="22">
        <v>0</v>
      </c>
      <c r="Y474" s="22">
        <v>0</v>
      </c>
      <c r="Z474" s="22">
        <v>0</v>
      </c>
      <c r="AA474" s="22">
        <v>0</v>
      </c>
      <c r="AB474" s="22">
        <v>0</v>
      </c>
      <c r="AC474" s="22">
        <v>525</v>
      </c>
      <c r="AD474" s="22">
        <v>0</v>
      </c>
      <c r="AE474" s="22">
        <v>0</v>
      </c>
      <c r="AF474" s="22">
        <v>4000</v>
      </c>
      <c r="AG474" s="22">
        <v>0</v>
      </c>
      <c r="AH474" s="22">
        <v>0</v>
      </c>
      <c r="AI474" s="22">
        <v>0</v>
      </c>
      <c r="AJ474" s="22">
        <v>0</v>
      </c>
      <c r="AK474" s="22">
        <v>0</v>
      </c>
      <c r="AL474" s="22">
        <v>0</v>
      </c>
      <c r="AM474" s="22">
        <v>0</v>
      </c>
      <c r="AN474" s="22">
        <v>0</v>
      </c>
      <c r="AO474" s="22">
        <v>0</v>
      </c>
      <c r="AP474" s="22">
        <v>0</v>
      </c>
      <c r="AQ474" s="22">
        <v>0</v>
      </c>
      <c r="AR474" s="22">
        <v>0</v>
      </c>
      <c r="AS474" s="22">
        <v>0</v>
      </c>
      <c r="AT474" s="22">
        <v>0</v>
      </c>
      <c r="AU474" s="19">
        <f t="shared" si="12"/>
        <v>4525</v>
      </c>
      <c r="AV474" s="22">
        <v>22975</v>
      </c>
      <c r="AW474" s="24" t="s">
        <v>54</v>
      </c>
      <c r="AX474" s="34"/>
      <c r="AY474" s="15"/>
      <c r="AZ474" s="26"/>
      <c r="BA474" s="27">
        <f t="shared" si="16"/>
        <v>0</v>
      </c>
      <c r="BB474" s="14"/>
      <c r="BC474" s="28"/>
    </row>
    <row r="475" spans="1:55" ht="28.8" x14ac:dyDescent="0.4">
      <c r="A475" s="15">
        <v>474</v>
      </c>
      <c r="B475" s="16">
        <v>80726</v>
      </c>
      <c r="C475" s="17" t="s">
        <v>699</v>
      </c>
      <c r="D475" s="16" t="s">
        <v>125</v>
      </c>
      <c r="E475" s="16" t="s">
        <v>702</v>
      </c>
      <c r="F475" s="16">
        <v>30</v>
      </c>
      <c r="G475" s="16">
        <v>30</v>
      </c>
      <c r="H475" s="18">
        <f t="shared" si="15"/>
        <v>0</v>
      </c>
      <c r="I475" s="19">
        <f t="shared" si="9"/>
        <v>0</v>
      </c>
      <c r="J475" s="16">
        <v>0</v>
      </c>
      <c r="K475" s="20">
        <v>0</v>
      </c>
      <c r="L475" s="21"/>
      <c r="M475" s="21"/>
      <c r="N475" s="16">
        <v>0</v>
      </c>
      <c r="O475" s="16">
        <v>0</v>
      </c>
      <c r="P475" s="16">
        <v>0</v>
      </c>
      <c r="Q475" s="16">
        <v>0</v>
      </c>
      <c r="R475" s="16">
        <v>0</v>
      </c>
      <c r="S475" s="22">
        <v>25000</v>
      </c>
      <c r="T475" s="19">
        <f t="shared" si="10"/>
        <v>0</v>
      </c>
      <c r="U475" s="19">
        <f t="shared" si="11"/>
        <v>25000</v>
      </c>
      <c r="V475" s="22">
        <v>25000</v>
      </c>
      <c r="W475" s="31">
        <v>0</v>
      </c>
      <c r="X475" s="22">
        <v>0</v>
      </c>
      <c r="Y475" s="22">
        <v>0</v>
      </c>
      <c r="Z475" s="22">
        <v>0</v>
      </c>
      <c r="AA475" s="22">
        <v>0</v>
      </c>
      <c r="AB475" s="22">
        <v>0</v>
      </c>
      <c r="AC475" s="22">
        <v>0</v>
      </c>
      <c r="AD475" s="22">
        <v>0</v>
      </c>
      <c r="AE475" s="22">
        <v>0</v>
      </c>
      <c r="AF475" s="22">
        <v>4000</v>
      </c>
      <c r="AG475" s="22">
        <v>0</v>
      </c>
      <c r="AH475" s="22">
        <v>0</v>
      </c>
      <c r="AI475" s="22">
        <v>0</v>
      </c>
      <c r="AJ475" s="22">
        <v>0</v>
      </c>
      <c r="AK475" s="22">
        <v>0</v>
      </c>
      <c r="AL475" s="22">
        <v>0</v>
      </c>
      <c r="AM475" s="22">
        <v>0</v>
      </c>
      <c r="AN475" s="22">
        <v>0</v>
      </c>
      <c r="AO475" s="22">
        <v>0</v>
      </c>
      <c r="AP475" s="22">
        <v>0</v>
      </c>
      <c r="AQ475" s="22">
        <v>0</v>
      </c>
      <c r="AR475" s="22">
        <v>0</v>
      </c>
      <c r="AS475" s="22">
        <v>0</v>
      </c>
      <c r="AT475" s="22">
        <v>0</v>
      </c>
      <c r="AU475" s="19">
        <f t="shared" si="12"/>
        <v>4000</v>
      </c>
      <c r="AV475" s="22">
        <v>21000</v>
      </c>
      <c r="AW475" s="24" t="s">
        <v>54</v>
      </c>
      <c r="AX475" s="34"/>
      <c r="AY475" s="15"/>
      <c r="AZ475" s="26"/>
      <c r="BA475" s="27">
        <f t="shared" si="16"/>
        <v>0</v>
      </c>
      <c r="BB475" s="14"/>
      <c r="BC475" s="28"/>
    </row>
  </sheetData>
  <conditionalFormatting sqref="B2:B475">
    <cfRule type="cellIs" dxfId="0" priority="1" operator="equal">
      <formula>"28061 "</formula>
    </cfRule>
  </conditionalFormatting>
  <dataValidations count="1">
    <dataValidation type="list" allowBlank="1" showErrorMessage="1" sqref="AW2:AW475" xr:uid="{660488F8-39CE-438F-A0E5-9F15E34A5144}">
      <formula1>"PAID"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686DC-42F0-407F-BB5A-B6CD94FBDF3C}">
  <dimension ref="A1:U474"/>
  <sheetViews>
    <sheetView tabSelected="1" topLeftCell="E10" workbookViewId="0">
      <selection activeCell="N14" sqref="N14"/>
    </sheetView>
  </sheetViews>
  <sheetFormatPr defaultRowHeight="14.4" x14ac:dyDescent="0.3"/>
  <cols>
    <col min="1" max="1" width="11" bestFit="1" customWidth="1"/>
    <col min="2" max="2" width="13.77734375" bestFit="1" customWidth="1"/>
    <col min="3" max="3" width="19.44140625" bestFit="1" customWidth="1"/>
    <col min="4" max="4" width="17.44140625" bestFit="1" customWidth="1"/>
    <col min="5" max="5" width="10.88671875" bestFit="1" customWidth="1"/>
    <col min="6" max="6" width="10.33203125" bestFit="1" customWidth="1"/>
    <col min="7" max="7" width="13.77734375" bestFit="1" customWidth="1"/>
    <col min="8" max="8" width="17.5546875" bestFit="1" customWidth="1"/>
    <col min="9" max="9" width="13.77734375" bestFit="1" customWidth="1"/>
    <col min="10" max="10" width="13.44140625" bestFit="1" customWidth="1"/>
    <col min="11" max="11" width="46.44140625" bestFit="1" customWidth="1"/>
    <col min="12" max="12" width="7.88671875" bestFit="1" customWidth="1"/>
    <col min="13" max="13" width="9.33203125" bestFit="1" customWidth="1"/>
    <col min="14" max="14" width="18.6640625" bestFit="1" customWidth="1"/>
    <col min="15" max="15" width="23.5546875" bestFit="1" customWidth="1"/>
    <col min="16" max="16" width="5.5546875" bestFit="1" customWidth="1"/>
    <col min="17" max="17" width="15.5546875" bestFit="1" customWidth="1"/>
    <col min="18" max="18" width="11.21875" bestFit="1" customWidth="1"/>
    <col min="19" max="19" width="14.88671875" bestFit="1" customWidth="1"/>
    <col min="20" max="20" width="11.33203125" bestFit="1" customWidth="1"/>
    <col min="21" max="21" width="12.21875" bestFit="1" customWidth="1"/>
  </cols>
  <sheetData>
    <row r="1" spans="1:21" x14ac:dyDescent="0.3">
      <c r="A1" t="s">
        <v>1837</v>
      </c>
      <c r="B1" t="s">
        <v>1818</v>
      </c>
      <c r="C1" t="s">
        <v>1838</v>
      </c>
      <c r="D1" t="s">
        <v>1819</v>
      </c>
      <c r="E1" t="s">
        <v>1820</v>
      </c>
      <c r="F1" t="s">
        <v>1821</v>
      </c>
      <c r="G1" t="s">
        <v>1822</v>
      </c>
      <c r="H1" t="s">
        <v>1823</v>
      </c>
      <c r="I1" t="s">
        <v>1824</v>
      </c>
      <c r="J1" t="s">
        <v>1825</v>
      </c>
      <c r="K1" t="s">
        <v>1826</v>
      </c>
      <c r="L1" t="s">
        <v>1827</v>
      </c>
      <c r="M1" t="s">
        <v>1828</v>
      </c>
      <c r="N1" t="s">
        <v>1829</v>
      </c>
      <c r="O1" t="s">
        <v>1830</v>
      </c>
      <c r="P1" t="s">
        <v>1831</v>
      </c>
      <c r="Q1" t="s">
        <v>1832</v>
      </c>
      <c r="R1" t="s">
        <v>1833</v>
      </c>
      <c r="S1" t="s">
        <v>1834</v>
      </c>
      <c r="T1" t="s">
        <v>1835</v>
      </c>
      <c r="U1" t="s">
        <v>1836</v>
      </c>
    </row>
    <row r="2" spans="1:21" x14ac:dyDescent="0.3">
      <c r="A2">
        <v>1</v>
      </c>
      <c r="B2">
        <v>5042</v>
      </c>
      <c r="C2" t="s">
        <v>1839</v>
      </c>
      <c r="D2" t="s">
        <v>1840</v>
      </c>
      <c r="E2" t="str">
        <f>VLOOKUP(B2,'MASTER DATA SLT'!$C$4:$H$544,6,0)</f>
        <v>NO</v>
      </c>
      <c r="F2" t="str">
        <f>VLOOKUP(B2,'MASTER DATA SLT'!$C$4:$F$544,4,0)</f>
        <v>2023-04-20</v>
      </c>
      <c r="G2">
        <f>VLOOKUP(B2,'MASTER DATA SLT'!$C$4:$P$544,14,0)</f>
        <v>0</v>
      </c>
      <c r="I2">
        <f>VLOOKUP(B2,'MASTER DATA SLT'!$C$4:$Q$544,15,0)</f>
        <v>0</v>
      </c>
      <c r="J2">
        <f>VLOOKUP(B2,'MASTER DATA SLT'!$C$4:$R$544,16,0)</f>
        <v>0</v>
      </c>
      <c r="K2">
        <f>VLOOKUP(B2,'MASTER DATA SLT'!$C$4:$S$544,17,0)</f>
        <v>0</v>
      </c>
      <c r="N2" t="str">
        <f>VLOOKUP(B2,'SALARY DETALES'!$B$2:$C$475,2,0)</f>
        <v>Accounts</v>
      </c>
      <c r="O2" t="str">
        <f>VLOOKUP(B2,'SALARY DETALES'!$B$2:$D$475,3,0)</f>
        <v>Account Assistant</v>
      </c>
      <c r="Q2" t="str">
        <f>VLOOKUP(B2,'MASTER DATA SLT'!$C$4:$F$544,4,0)</f>
        <v>2023-04-20</v>
      </c>
      <c r="R2">
        <f>VLOOKUP(B2,'MASTER DATA SLT'!$C$4:$G$544,5,0)</f>
        <v>15</v>
      </c>
      <c r="U2">
        <f>VLOOKUP(B2,'SALARY DETALES'!$B$2:$S$475,18,0)</f>
        <v>50000</v>
      </c>
    </row>
    <row r="3" spans="1:21" x14ac:dyDescent="0.3">
      <c r="A3">
        <v>2</v>
      </c>
      <c r="B3">
        <v>5051</v>
      </c>
      <c r="C3" t="s">
        <v>1841</v>
      </c>
      <c r="D3" t="s">
        <v>2133</v>
      </c>
      <c r="E3" t="str">
        <f>VLOOKUP(B3,'MASTER DATA SLT'!$C$4:$H$544,6,0)</f>
        <v>NO</v>
      </c>
      <c r="F3" t="str">
        <f>VLOOKUP(B3,'MASTER DATA SLT'!$C$4:$F$544,4,0)</f>
        <v>2024-07-03</v>
      </c>
      <c r="G3" t="str">
        <f>VLOOKUP(B3,'MASTER DATA SLT'!$C$4:$P$544,14,0)</f>
        <v>42201-0782484</v>
      </c>
      <c r="I3" t="str">
        <f>VLOOKUP(B3,'MASTER DATA SLT'!$C$4:$Q$544,15,0)</f>
        <v>0323-291458</v>
      </c>
      <c r="J3">
        <f>VLOOKUP(B3,'MASTER DATA SLT'!$C$4:$R$544,16,0)</f>
        <v>0</v>
      </c>
      <c r="K3">
        <f>VLOOKUP(B3,'MASTER DATA SLT'!$C$4:$S$544,17,0)</f>
        <v>0</v>
      </c>
      <c r="N3" t="str">
        <f>VLOOKUP(B3,'SALARY DETALES'!$B$2:$C$475,2,0)</f>
        <v>Accounts</v>
      </c>
      <c r="O3" t="str">
        <f>VLOOKUP(B3,'SALARY DETALES'!$B$2:$D$475,3,0)</f>
        <v>Finance Manager</v>
      </c>
      <c r="Q3" t="str">
        <f>VLOOKUP(B3,'MASTER DATA SLT'!$C$4:$F$544,4,0)</f>
        <v>2024-07-03</v>
      </c>
      <c r="R3">
        <f>VLOOKUP(B3,'MASTER DATA SLT'!$C$4:$G$544,5,0)</f>
        <v>0</v>
      </c>
      <c r="U3">
        <f>VLOOKUP(B3,'SALARY DETALES'!$B$2:$S$475,18,0)</f>
        <v>140000</v>
      </c>
    </row>
    <row r="4" spans="1:21" x14ac:dyDescent="0.3">
      <c r="A4">
        <v>3</v>
      </c>
      <c r="B4">
        <v>80657</v>
      </c>
      <c r="C4" t="s">
        <v>1843</v>
      </c>
      <c r="D4" t="s">
        <v>1844</v>
      </c>
      <c r="E4" t="str">
        <f>VLOOKUP(B4,'MASTER DATA SLT'!$C$4:$H$544,6,0)</f>
        <v>BUS</v>
      </c>
      <c r="F4" t="str">
        <f>VLOOKUP(B4,'MASTER DATA SLT'!$C$4:$F$544,4,0)</f>
        <v>2025-02-28</v>
      </c>
      <c r="G4">
        <f>VLOOKUP(B4,'MASTER DATA SLT'!$C$4:$P$544,14,0)</f>
        <v>0</v>
      </c>
      <c r="I4">
        <f>VLOOKUP(B4,'MASTER DATA SLT'!$C$4:$Q$544,15,0)</f>
        <v>0</v>
      </c>
      <c r="J4">
        <f>VLOOKUP(B4,'MASTER DATA SLT'!$C$4:$R$544,16,0)</f>
        <v>0</v>
      </c>
      <c r="K4">
        <f>VLOOKUP(B4,'MASTER DATA SLT'!$C$4:$S$544,17,0)</f>
        <v>0</v>
      </c>
      <c r="N4" t="str">
        <f>VLOOKUP(B4,'SALARY DETALES'!$B$2:$C$475,2,0)</f>
        <v>Accounts</v>
      </c>
      <c r="O4" t="str">
        <f>VLOOKUP(B4,'SALARY DETALES'!$B$2:$D$475,3,0)</f>
        <v>Accounts Assistant</v>
      </c>
      <c r="Q4" t="str">
        <f>VLOOKUP(B4,'MASTER DATA SLT'!$C$4:$F$544,4,0)</f>
        <v>2025-02-28</v>
      </c>
      <c r="R4">
        <f>VLOOKUP(B4,'MASTER DATA SLT'!$C$4:$G$544,5,0)</f>
        <v>0</v>
      </c>
      <c r="U4">
        <f>VLOOKUP(B4,'SALARY DETALES'!$B$2:$S$475,18,0)</f>
        <v>35000</v>
      </c>
    </row>
    <row r="5" spans="1:21" x14ac:dyDescent="0.3">
      <c r="A5">
        <v>4</v>
      </c>
      <c r="B5">
        <v>23008</v>
      </c>
      <c r="C5" t="s">
        <v>1845</v>
      </c>
      <c r="D5" t="s">
        <v>1846</v>
      </c>
      <c r="E5" t="str">
        <f>VLOOKUP(B5,'MASTER DATA SLT'!$C$4:$H$544,6,0)</f>
        <v>NO</v>
      </c>
      <c r="F5" t="str">
        <f>VLOOKUP(B5,'MASTER DATA SLT'!$C$4:$F$544,4,0)</f>
        <v>2021-12-28</v>
      </c>
      <c r="G5">
        <f>VLOOKUP(B5,'MASTER DATA SLT'!$C$4:$P$544,14,0)</f>
        <v>0</v>
      </c>
      <c r="I5">
        <f>VLOOKUP(B5,'MASTER DATA SLT'!$C$4:$Q$544,15,0)</f>
        <v>0</v>
      </c>
      <c r="J5">
        <f>VLOOKUP(B5,'MASTER DATA SLT'!$C$4:$R$544,16,0)</f>
        <v>0</v>
      </c>
      <c r="K5">
        <f>VLOOKUP(B5,'MASTER DATA SLT'!$C$4:$S$544,17,0)</f>
        <v>0</v>
      </c>
      <c r="N5" t="str">
        <f>VLOOKUP(B5,'SALARY DETALES'!$B$2:$C$475,2,0)</f>
        <v>Admin</v>
      </c>
      <c r="O5" t="str">
        <f>VLOOKUP(B5,'SALARY DETALES'!$B$2:$D$475,3,0)</f>
        <v>office boy</v>
      </c>
      <c r="Q5" t="str">
        <f>VLOOKUP(B5,'MASTER DATA SLT'!$C$4:$F$544,4,0)</f>
        <v>2021-12-28</v>
      </c>
      <c r="R5">
        <f>VLOOKUP(B5,'MASTER DATA SLT'!$C$4:$G$544,5,0)</f>
        <v>480</v>
      </c>
      <c r="U5">
        <f>VLOOKUP(B5,'SALARY DETALES'!$B$2:$S$475,18,0)</f>
        <v>35000</v>
      </c>
    </row>
    <row r="6" spans="1:21" x14ac:dyDescent="0.3">
      <c r="A6">
        <v>5</v>
      </c>
      <c r="B6">
        <v>25016</v>
      </c>
      <c r="C6" t="s">
        <v>1847</v>
      </c>
      <c r="D6" t="s">
        <v>2131</v>
      </c>
      <c r="E6" t="str">
        <f>VLOOKUP(B6,'MASTER DATA SLT'!$C$4:$H$544,6,0)</f>
        <v>NO</v>
      </c>
      <c r="F6" t="str">
        <f>VLOOKUP(B6,'MASTER DATA SLT'!$C$4:$F$544,4,0)</f>
        <v>2022-09-22</v>
      </c>
      <c r="G6" t="str">
        <f>VLOOKUP(B6,'MASTER DATA SLT'!$C$4:$P$544,14,0)</f>
        <v>42501-9595902</v>
      </c>
      <c r="I6">
        <f>VLOOKUP(B6,'MASTER DATA SLT'!$C$4:$Q$544,15,0)</f>
        <v>32122966629</v>
      </c>
      <c r="J6">
        <f>VLOOKUP(B6,'MASTER DATA SLT'!$C$4:$R$544,16,0)</f>
        <v>3232829982</v>
      </c>
      <c r="K6" t="str">
        <f>VLOOKUP(B6,'MASTER DATA SLT'!$C$4:$S$544,17,0)</f>
        <v>FLAT NO: A-408 BLOCK C GULISTAN E HIJRI</v>
      </c>
      <c r="N6" t="str">
        <f>VLOOKUP(B6,'SALARY DETALES'!$B$2:$C$475,2,0)</f>
        <v>Admin</v>
      </c>
      <c r="O6" t="str">
        <f>VLOOKUP(B6,'SALARY DETALES'!$B$2:$D$475,3,0)</f>
        <v>OPERATION MANAGER</v>
      </c>
      <c r="Q6" t="str">
        <f>VLOOKUP(B6,'MASTER DATA SLT'!$C$4:$F$544,4,0)</f>
        <v>2022-09-22</v>
      </c>
      <c r="R6">
        <f>VLOOKUP(B6,'MASTER DATA SLT'!$C$4:$G$544,5,0)</f>
        <v>150</v>
      </c>
      <c r="U6">
        <f>VLOOKUP(B6,'SALARY DETALES'!$B$2:$S$475,18,0)</f>
        <v>175000</v>
      </c>
    </row>
    <row r="7" spans="1:21" x14ac:dyDescent="0.3">
      <c r="A7">
        <v>6</v>
      </c>
      <c r="B7">
        <v>29148</v>
      </c>
      <c r="C7" t="s">
        <v>1740</v>
      </c>
      <c r="D7" t="s">
        <v>1850</v>
      </c>
      <c r="E7" t="str">
        <f>VLOOKUP(B7,'MASTER DATA SLT'!$C$4:$H$544,6,0)</f>
        <v>NO</v>
      </c>
      <c r="F7" t="str">
        <f>VLOOKUP(B7,'MASTER DATA SLT'!$C$4:$F$544,4,0)</f>
        <v>2022-11-04</v>
      </c>
      <c r="G7">
        <f>VLOOKUP(B7,'MASTER DATA SLT'!$C$4:$P$544,14,0)</f>
        <v>0</v>
      </c>
      <c r="I7">
        <f>VLOOKUP(B7,'MASTER DATA SLT'!$C$4:$Q$544,15,0)</f>
        <v>0</v>
      </c>
      <c r="J7">
        <f>VLOOKUP(B7,'MASTER DATA SLT'!$C$4:$R$544,16,0)</f>
        <v>0</v>
      </c>
      <c r="K7">
        <f>VLOOKUP(B7,'MASTER DATA SLT'!$C$4:$S$544,17,0)</f>
        <v>0</v>
      </c>
      <c r="N7" t="str">
        <f>VLOOKUP(B7,'SALARY DETALES'!$B$2:$C$475,2,0)</f>
        <v>Admin</v>
      </c>
      <c r="O7" t="str">
        <f>VLOOKUP(B7,'SALARY DETALES'!$B$2:$D$475,3,0)</f>
        <v>CHEF</v>
      </c>
      <c r="Q7" t="str">
        <f>VLOOKUP(B7,'MASTER DATA SLT'!$C$4:$F$544,4,0)</f>
        <v>2022-11-04</v>
      </c>
      <c r="R7">
        <f>VLOOKUP(B7,'MASTER DATA SLT'!$C$4:$G$544,5,0)</f>
        <v>180</v>
      </c>
      <c r="U7">
        <f>VLOOKUP(B7,'SALARY DETALES'!$B$2:$S$475,18,0)</f>
        <v>60000</v>
      </c>
    </row>
    <row r="8" spans="1:21" x14ac:dyDescent="0.3">
      <c r="A8">
        <v>7</v>
      </c>
      <c r="B8">
        <v>12059</v>
      </c>
      <c r="C8" t="s">
        <v>342</v>
      </c>
      <c r="D8" t="s">
        <v>1851</v>
      </c>
      <c r="E8" t="str">
        <f>VLOOKUP(B8,'MASTER DATA SLT'!$C$4:$H$544,6,0)</f>
        <v>NO</v>
      </c>
      <c r="F8" t="str">
        <f>VLOOKUP(B8,'MASTER DATA SLT'!$C$4:$F$544,4,0)</f>
        <v>2023-04-25</v>
      </c>
      <c r="G8">
        <f>VLOOKUP(B8,'MASTER DATA SLT'!$C$4:$P$544,14,0)</f>
        <v>0</v>
      </c>
      <c r="I8">
        <f>VLOOKUP(B8,'MASTER DATA SLT'!$C$4:$Q$544,15,0)</f>
        <v>0</v>
      </c>
      <c r="J8">
        <f>VLOOKUP(B8,'MASTER DATA SLT'!$C$4:$R$544,16,0)</f>
        <v>0</v>
      </c>
      <c r="K8">
        <f>VLOOKUP(B8,'MASTER DATA SLT'!$C$4:$S$544,17,0)</f>
        <v>0</v>
      </c>
      <c r="N8" t="str">
        <f>VLOOKUP(B8,'SALARY DETALES'!$B$2:$C$475,2,0)</f>
        <v>Admin</v>
      </c>
      <c r="O8" t="str">
        <f>VLOOKUP(B8,'SALARY DETALES'!$B$2:$D$475,3,0)</f>
        <v>Imam</v>
      </c>
      <c r="Q8" t="str">
        <f>VLOOKUP(B8,'MASTER DATA SLT'!$C$4:$F$544,4,0)</f>
        <v>2023-04-25</v>
      </c>
      <c r="R8">
        <f>VLOOKUP(B8,'MASTER DATA SLT'!$C$4:$G$544,5,0)</f>
        <v>30</v>
      </c>
      <c r="U8">
        <f>VLOOKUP(B8,'SALARY DETALES'!$B$2:$S$475,18,0)</f>
        <v>30000</v>
      </c>
    </row>
    <row r="9" spans="1:21" x14ac:dyDescent="0.3">
      <c r="A9">
        <v>8</v>
      </c>
      <c r="B9">
        <v>23024</v>
      </c>
      <c r="C9" t="s">
        <v>1839</v>
      </c>
      <c r="D9" t="s">
        <v>2134</v>
      </c>
      <c r="E9" t="str">
        <f>VLOOKUP(B9,'MASTER DATA SLT'!$C$4:$H$544,6,0)</f>
        <v>NO</v>
      </c>
      <c r="F9" t="str">
        <f>VLOOKUP(B9,'MASTER DATA SLT'!$C$4:$F$544,4,0)</f>
        <v>2024-05-12</v>
      </c>
      <c r="G9" t="str">
        <f>VLOOKUP(B9,'MASTER DATA SLT'!$C$4:$P$544,14,0)</f>
        <v>42101-0631623</v>
      </c>
      <c r="I9" t="str">
        <f>VLOOKUP(B9,'MASTER DATA SLT'!$C$4:$Q$544,15,0)</f>
        <v>0315-8987791</v>
      </c>
      <c r="J9">
        <f>VLOOKUP(B9,'MASTER DATA SLT'!$C$4:$R$544,16,0)</f>
        <v>0</v>
      </c>
      <c r="K9">
        <f>VLOOKUP(B9,'MASTER DATA SLT'!$C$4:$S$544,17,0)</f>
        <v>0</v>
      </c>
      <c r="N9" t="str">
        <f>VLOOKUP(B9,'SALARY DETALES'!$B$2:$C$475,2,0)</f>
        <v>Admin</v>
      </c>
      <c r="O9" t="str">
        <f>VLOOKUP(B9,'SALARY DETALES'!$B$2:$D$475,3,0)</f>
        <v>HR Officer</v>
      </c>
      <c r="Q9" t="str">
        <f>VLOOKUP(B9,'MASTER DATA SLT'!$C$4:$F$544,4,0)</f>
        <v>2024-05-12</v>
      </c>
      <c r="R9">
        <f>VLOOKUP(B9,'MASTER DATA SLT'!$C$4:$G$544,5,0)</f>
        <v>210</v>
      </c>
      <c r="U9">
        <f>VLOOKUP(B9,'SALARY DETALES'!$B$2:$S$475,18,0)</f>
        <v>38500</v>
      </c>
    </row>
    <row r="10" spans="1:21" x14ac:dyDescent="0.3">
      <c r="A10">
        <v>9</v>
      </c>
      <c r="B10">
        <v>23026</v>
      </c>
      <c r="C10" t="s">
        <v>1853</v>
      </c>
      <c r="D10" t="s">
        <v>2135</v>
      </c>
      <c r="E10" t="str">
        <f>VLOOKUP(B10,'MASTER DATA SLT'!$C$4:$H$544,6,0)</f>
        <v>NO</v>
      </c>
      <c r="F10" t="str">
        <f>VLOOKUP(B10,'MASTER DATA SLT'!$C$4:$F$544,4,0)</f>
        <v>2024-05-09</v>
      </c>
      <c r="G10">
        <f>VLOOKUP(B10,'MASTER DATA SLT'!$C$4:$P$544,14,0)</f>
        <v>0</v>
      </c>
      <c r="I10" t="str">
        <f>VLOOKUP(B10,'MASTER DATA SLT'!$C$4:$Q$544,15,0)</f>
        <v>0312-1040468</v>
      </c>
      <c r="J10">
        <f>VLOOKUP(B10,'MASTER DATA SLT'!$C$4:$R$544,16,0)</f>
        <v>0</v>
      </c>
      <c r="K10">
        <f>VLOOKUP(B10,'MASTER DATA SLT'!$C$4:$S$544,17,0)</f>
        <v>0</v>
      </c>
      <c r="N10" t="str">
        <f>VLOOKUP(B10,'SALARY DETALES'!$B$2:$C$475,2,0)</f>
        <v>Admin</v>
      </c>
      <c r="O10" t="str">
        <f>VLOOKUP(B10,'SALARY DETALES'!$B$2:$D$475,3,0)</f>
        <v>Supervisor</v>
      </c>
      <c r="Q10" t="str">
        <f>VLOOKUP(B10,'MASTER DATA SLT'!$C$4:$F$544,4,0)</f>
        <v>2024-05-09</v>
      </c>
      <c r="R10">
        <f>VLOOKUP(B10,'MASTER DATA SLT'!$C$4:$G$544,5,0)</f>
        <v>210</v>
      </c>
      <c r="U10">
        <f>VLOOKUP(B10,'SALARY DETALES'!$B$2:$S$475,18,0)</f>
        <v>70000</v>
      </c>
    </row>
    <row r="11" spans="1:21" x14ac:dyDescent="0.3">
      <c r="A11">
        <v>10</v>
      </c>
      <c r="B11">
        <v>80328</v>
      </c>
      <c r="C11" t="s">
        <v>730</v>
      </c>
      <c r="D11" t="s">
        <v>1856</v>
      </c>
      <c r="E11" t="str">
        <f>VLOOKUP(B11,'MASTER DATA SLT'!$C$4:$H$544,6,0)</f>
        <v>NO</v>
      </c>
      <c r="F11" t="str">
        <f>VLOOKUP(B11,'MASTER DATA SLT'!$C$4:$F$544,4,0)</f>
        <v>2024-08-13</v>
      </c>
      <c r="G11" t="str">
        <f>VLOOKUP(B11,'MASTER DATA SLT'!$C$4:$P$544,14,0)</f>
        <v>42201-9108774</v>
      </c>
      <c r="I11" t="str">
        <f>VLOOKUP(B11,'MASTER DATA SLT'!$C$4:$Q$544,15,0)</f>
        <v>0333-2543913</v>
      </c>
      <c r="J11">
        <f>VLOOKUP(B11,'MASTER DATA SLT'!$C$4:$R$544,16,0)</f>
        <v>0</v>
      </c>
      <c r="K11">
        <f>VLOOKUP(B11,'MASTER DATA SLT'!$C$4:$S$544,17,0)</f>
        <v>0</v>
      </c>
      <c r="N11" t="str">
        <f>VLOOKUP(B11,'SALARY DETALES'!$B$2:$C$475,2,0)</f>
        <v>Admin</v>
      </c>
      <c r="O11" t="str">
        <f>VLOOKUP(B11,'SALARY DETALES'!$B$2:$D$475,3,0)</f>
        <v>HR Manager</v>
      </c>
      <c r="Q11" t="str">
        <f>VLOOKUP(B11,'MASTER DATA SLT'!$C$4:$F$544,4,0)</f>
        <v>2024-08-13</v>
      </c>
      <c r="R11">
        <f>VLOOKUP(B11,'MASTER DATA SLT'!$C$4:$G$544,5,0)</f>
        <v>210</v>
      </c>
      <c r="U11">
        <f>VLOOKUP(B11,'SALARY DETALES'!$B$2:$S$475,18,0)</f>
        <v>65000</v>
      </c>
    </row>
    <row r="12" spans="1:21" x14ac:dyDescent="0.3">
      <c r="A12">
        <v>11</v>
      </c>
      <c r="B12">
        <v>80471</v>
      </c>
      <c r="C12" t="s">
        <v>1858</v>
      </c>
      <c r="D12" t="s">
        <v>1859</v>
      </c>
      <c r="E12" t="str">
        <f>VLOOKUP(B12,'MASTER DATA SLT'!$C$4:$H$544,6,0)</f>
        <v>NO</v>
      </c>
      <c r="F12" t="str">
        <f>VLOOKUP(B12,'MASTER DATA SLT'!$C$4:$F$544,4,0)</f>
        <v>2024-10-18</v>
      </c>
      <c r="G12" t="str">
        <f>VLOOKUP(B12,'MASTER DATA SLT'!$C$4:$P$544,14,0)</f>
        <v>41303-4925810</v>
      </c>
      <c r="I12" t="str">
        <f>VLOOKUP(B12,'MASTER DATA SLT'!$C$4:$Q$544,15,0)</f>
        <v>0345-4884829</v>
      </c>
      <c r="J12">
        <f>VLOOKUP(B12,'MASTER DATA SLT'!$C$4:$R$544,16,0)</f>
        <v>0</v>
      </c>
      <c r="K12">
        <f>VLOOKUP(B12,'MASTER DATA SLT'!$C$4:$S$544,17,0)</f>
        <v>0</v>
      </c>
      <c r="N12" t="str">
        <f>VLOOKUP(B12,'SALARY DETALES'!$B$2:$C$475,2,0)</f>
        <v>Admin</v>
      </c>
      <c r="O12" t="str">
        <f>VLOOKUP(B12,'SALARY DETALES'!$B$2:$D$475,3,0)</f>
        <v>Imam Masjid</v>
      </c>
      <c r="Q12" t="str">
        <f>VLOOKUP(B12,'MASTER DATA SLT'!$C$4:$F$544,4,0)</f>
        <v>2024-10-18</v>
      </c>
      <c r="R12">
        <f>VLOOKUP(B12,'MASTER DATA SLT'!$C$4:$G$544,5,0)</f>
        <v>210</v>
      </c>
      <c r="U12">
        <f>VLOOKUP(B12,'SALARY DETALES'!$B$2:$S$475,18,0)</f>
        <v>25000</v>
      </c>
    </row>
    <row r="13" spans="1:21" x14ac:dyDescent="0.3">
      <c r="A13">
        <v>12</v>
      </c>
      <c r="B13">
        <v>80527</v>
      </c>
      <c r="C13" t="s">
        <v>1860</v>
      </c>
      <c r="D13" t="s">
        <v>2136</v>
      </c>
      <c r="E13" t="str">
        <f>VLOOKUP(B13,'MASTER DATA SLT'!$C$4:$H$544,6,0)</f>
        <v>NO</v>
      </c>
      <c r="F13" t="str">
        <f>VLOOKUP(B13,'MASTER DATA SLT'!$C$4:$F$544,4,0)</f>
        <v>2024-12-03</v>
      </c>
      <c r="G13" t="str">
        <f>VLOOKUP(B13,'MASTER DATA SLT'!$C$4:$P$544,14,0)</f>
        <v>42101-1923007</v>
      </c>
      <c r="I13" t="str">
        <f>VLOOKUP(B13,'MASTER DATA SLT'!$C$4:$Q$544,15,0)</f>
        <v>0300-9243425</v>
      </c>
      <c r="J13" t="str">
        <f>VLOOKUP(B13,'MASTER DATA SLT'!$C$4:$R$544,16,0)</f>
        <v>0322-2314801</v>
      </c>
      <c r="K13">
        <f>VLOOKUP(B13,'MASTER DATA SLT'!$C$4:$S$544,17,0)</f>
        <v>0</v>
      </c>
      <c r="N13" t="str">
        <f>VLOOKUP(B13,'SALARY DETALES'!$B$2:$C$475,2,0)</f>
        <v>Admin</v>
      </c>
      <c r="O13" t="str">
        <f>VLOOKUP(B13,'SALARY DETALES'!$B$2:$D$475,3,0)</f>
        <v>G.M</v>
      </c>
      <c r="Q13" t="str">
        <f>VLOOKUP(B13,'MASTER DATA SLT'!$C$4:$F$544,4,0)</f>
        <v>2024-12-03</v>
      </c>
      <c r="R13">
        <f>VLOOKUP(B13,'MASTER DATA SLT'!$C$4:$G$544,5,0)</f>
        <v>150</v>
      </c>
      <c r="U13">
        <f>VLOOKUP(B13,'SALARY DETALES'!$B$2:$S$475,18,0)</f>
        <v>175000</v>
      </c>
    </row>
    <row r="14" spans="1:21" x14ac:dyDescent="0.3">
      <c r="A14">
        <v>13</v>
      </c>
      <c r="B14">
        <v>1014</v>
      </c>
      <c r="C14" t="s">
        <v>1862</v>
      </c>
      <c r="D14" t="s">
        <v>1863</v>
      </c>
      <c r="E14" t="str">
        <f>VLOOKUP(B14,'MASTER DATA SLT'!$C$4:$H$544,6,0)</f>
        <v>NO</v>
      </c>
      <c r="F14" t="str">
        <f>VLOOKUP(B14,'MASTER DATA SLT'!$C$4:$F$544,4,0)</f>
        <v>2021-12-10</v>
      </c>
      <c r="G14">
        <f>VLOOKUP(B14,'MASTER DATA SLT'!$C$4:$P$544,14,0)</f>
        <v>0</v>
      </c>
      <c r="I14">
        <f>VLOOKUP(B14,'MASTER DATA SLT'!$C$4:$Q$544,15,0)</f>
        <v>0</v>
      </c>
      <c r="J14">
        <f>VLOOKUP(B14,'MASTER DATA SLT'!$C$4:$R$544,16,0)</f>
        <v>0</v>
      </c>
      <c r="K14">
        <f>VLOOKUP(B14,'MASTER DATA SLT'!$C$4:$S$544,17,0)</f>
        <v>0</v>
      </c>
      <c r="N14" t="str">
        <f>VLOOKUP(B14,'SALARY DETALES'!$B$2:$C$475,2,0)</f>
        <v>Assembler</v>
      </c>
      <c r="O14" t="str">
        <f>VLOOKUP(B14,'SALARY DETALES'!$B$2:$D$475,3,0)</f>
        <v>Assembler Incharge</v>
      </c>
      <c r="Q14" t="str">
        <f>VLOOKUP(B14,'MASTER DATA SLT'!$C$4:$F$544,4,0)</f>
        <v>2021-12-10</v>
      </c>
      <c r="R14">
        <f>VLOOKUP(B14,'MASTER DATA SLT'!$C$4:$G$544,5,0)</f>
        <v>45</v>
      </c>
      <c r="U14">
        <f>VLOOKUP(B14,'SALARY DETALES'!$B$2:$S$475,18,0)</f>
        <v>66000</v>
      </c>
    </row>
    <row r="15" spans="1:21" x14ac:dyDescent="0.3">
      <c r="A15">
        <v>14</v>
      </c>
      <c r="B15">
        <v>18005</v>
      </c>
      <c r="C15" t="s">
        <v>1864</v>
      </c>
      <c r="D15" t="s">
        <v>1863</v>
      </c>
      <c r="E15" t="str">
        <f>VLOOKUP(B15,'MASTER DATA SLT'!$C$4:$H$544,6,0)</f>
        <v>NO</v>
      </c>
      <c r="F15" t="str">
        <f>VLOOKUP(B15,'MASTER DATA SLT'!$C$4:$F$544,4,0)</f>
        <v>2021-12-26</v>
      </c>
      <c r="G15">
        <f>VLOOKUP(B15,'MASTER DATA SLT'!$C$4:$P$544,14,0)</f>
        <v>0</v>
      </c>
      <c r="I15">
        <f>VLOOKUP(B15,'MASTER DATA SLT'!$C$4:$Q$544,15,0)</f>
        <v>0</v>
      </c>
      <c r="J15">
        <f>VLOOKUP(B15,'MASTER DATA SLT'!$C$4:$R$544,16,0)</f>
        <v>0</v>
      </c>
      <c r="K15">
        <f>VLOOKUP(B15,'MASTER DATA SLT'!$C$4:$S$544,17,0)</f>
        <v>0</v>
      </c>
      <c r="N15" t="str">
        <f>VLOOKUP(B15,'SALARY DETALES'!$B$2:$C$475,2,0)</f>
        <v>LAUNDRY</v>
      </c>
      <c r="O15" t="str">
        <f>VLOOKUP(B15,'SALARY DETALES'!$B$2:$D$475,3,0)</f>
        <v>LAUNDRY</v>
      </c>
      <c r="Q15" t="str">
        <f>VLOOKUP(B15,'MASTER DATA SLT'!$C$4:$F$544,4,0)</f>
        <v>2021-12-26</v>
      </c>
      <c r="R15">
        <f>VLOOKUP(B15,'MASTER DATA SLT'!$C$4:$G$544,5,0)</f>
        <v>60</v>
      </c>
      <c r="U15">
        <f>VLOOKUP(B15,'SALARY DETALES'!$B$2:$S$475,18,0)</f>
        <v>27500</v>
      </c>
    </row>
    <row r="16" spans="1:21" x14ac:dyDescent="0.3">
      <c r="A16">
        <v>15</v>
      </c>
      <c r="B16">
        <v>18009</v>
      </c>
      <c r="C16" t="s">
        <v>1865</v>
      </c>
      <c r="D16" t="s">
        <v>1863</v>
      </c>
      <c r="E16" t="str">
        <f>VLOOKUP(B16,'MASTER DATA SLT'!$C$4:$H$544,6,0)</f>
        <v>BUS</v>
      </c>
      <c r="F16" t="str">
        <f>VLOOKUP(B16,'MASTER DATA SLT'!$C$4:$F$544,4,0)</f>
        <v>2021-12-28</v>
      </c>
      <c r="G16">
        <f>VLOOKUP(B16,'MASTER DATA SLT'!$C$4:$P$544,14,0)</f>
        <v>0</v>
      </c>
      <c r="I16">
        <f>VLOOKUP(B16,'MASTER DATA SLT'!$C$4:$Q$544,15,0)</f>
        <v>0</v>
      </c>
      <c r="J16">
        <f>VLOOKUP(B16,'MASTER DATA SLT'!$C$4:$R$544,16,0)</f>
        <v>0</v>
      </c>
      <c r="K16">
        <f>VLOOKUP(B16,'MASTER DATA SLT'!$C$4:$S$544,17,0)</f>
        <v>0</v>
      </c>
      <c r="N16" t="str">
        <f>VLOOKUP(B16,'SALARY DETALES'!$B$2:$C$475,2,0)</f>
        <v>LAUNDRY</v>
      </c>
      <c r="O16" t="str">
        <f>VLOOKUP(B16,'SALARY DETALES'!$B$2:$D$475,3,0)</f>
        <v>LAUNDRY</v>
      </c>
      <c r="Q16" t="str">
        <f>VLOOKUP(B16,'MASTER DATA SLT'!$C$4:$F$544,4,0)</f>
        <v>2021-12-28</v>
      </c>
      <c r="R16">
        <f>VLOOKUP(B16,'MASTER DATA SLT'!$C$4:$G$544,5,0)</f>
        <v>0</v>
      </c>
      <c r="U16">
        <f>VLOOKUP(B16,'SALARY DETALES'!$B$2:$S$475,18,0)</f>
        <v>17600</v>
      </c>
    </row>
    <row r="17" spans="1:21" x14ac:dyDescent="0.3">
      <c r="A17">
        <v>16</v>
      </c>
      <c r="B17">
        <v>1020</v>
      </c>
      <c r="C17" t="s">
        <v>477</v>
      </c>
      <c r="D17" t="s">
        <v>1863</v>
      </c>
      <c r="E17" t="str">
        <f>VLOOKUP(B17,'MASTER DATA SLT'!$C$4:$H$544,6,0)</f>
        <v>NO</v>
      </c>
      <c r="F17" t="str">
        <f>VLOOKUP(B17,'MASTER DATA SLT'!$C$4:$F$544,4,0)</f>
        <v>2022-04-12</v>
      </c>
      <c r="G17" t="str">
        <f>VLOOKUP(B17,'MASTER DATA SLT'!$C$4:$P$544,14,0)</f>
        <v>42201-9044066</v>
      </c>
      <c r="I17">
        <f>VLOOKUP(B17,'MASTER DATA SLT'!$C$4:$Q$544,15,0)</f>
        <v>0</v>
      </c>
      <c r="J17">
        <f>VLOOKUP(B17,'MASTER DATA SLT'!$C$4:$R$544,16,0)</f>
        <v>0</v>
      </c>
      <c r="K17">
        <f>VLOOKUP(B17,'MASTER DATA SLT'!$C$4:$S$544,17,0)</f>
        <v>0</v>
      </c>
      <c r="N17" t="str">
        <f>VLOOKUP(B17,'SALARY DETALES'!$B$2:$C$475,2,0)</f>
        <v>Assembler</v>
      </c>
      <c r="O17" t="str">
        <f>VLOOKUP(B17,'SALARY DETALES'!$B$2:$D$475,3,0)</f>
        <v>Assembler Incharge</v>
      </c>
      <c r="Q17" t="str">
        <f>VLOOKUP(B17,'MASTER DATA SLT'!$C$4:$F$544,4,0)</f>
        <v>2022-04-12</v>
      </c>
      <c r="R17">
        <f>VLOOKUP(B17,'MASTER DATA SLT'!$C$4:$G$544,5,0)</f>
        <v>60</v>
      </c>
      <c r="U17">
        <f>VLOOKUP(B17,'SALARY DETALES'!$B$2:$S$475,18,0)</f>
        <v>47300</v>
      </c>
    </row>
    <row r="18" spans="1:21" x14ac:dyDescent="0.3">
      <c r="A18">
        <v>17</v>
      </c>
      <c r="B18">
        <v>1030</v>
      </c>
      <c r="C18" t="s">
        <v>88</v>
      </c>
      <c r="D18" t="s">
        <v>2137</v>
      </c>
      <c r="E18" t="str">
        <f>VLOOKUP(B18,'MASTER DATA SLT'!$C$4:$H$544,6,0)</f>
        <v>NO</v>
      </c>
      <c r="F18" t="str">
        <f>VLOOKUP(B18,'MASTER DATA SLT'!$C$4:$F$544,4,0)</f>
        <v>2023-10-23</v>
      </c>
      <c r="G18">
        <f>VLOOKUP(B18,'MASTER DATA SLT'!$C$4:$P$544,14,0)</f>
        <v>0</v>
      </c>
      <c r="I18">
        <f>VLOOKUP(B18,'MASTER DATA SLT'!$C$4:$Q$544,15,0)</f>
        <v>0</v>
      </c>
      <c r="J18">
        <f>VLOOKUP(B18,'MASTER DATA SLT'!$C$4:$R$544,16,0)</f>
        <v>0</v>
      </c>
      <c r="K18">
        <f>VLOOKUP(B18,'MASTER DATA SLT'!$C$4:$S$544,17,0)</f>
        <v>0</v>
      </c>
      <c r="N18" t="str">
        <f>VLOOKUP(B18,'SALARY DETALES'!$B$2:$C$475,2,0)</f>
        <v>Assembler</v>
      </c>
      <c r="O18" t="str">
        <f>VLOOKUP(B18,'SALARY DETALES'!$B$2:$D$475,3,0)</f>
        <v>Assembler Helper</v>
      </c>
      <c r="Q18" t="str">
        <f>VLOOKUP(B18,'MASTER DATA SLT'!$C$4:$F$544,4,0)</f>
        <v>2023-10-23</v>
      </c>
      <c r="R18">
        <f>VLOOKUP(B18,'MASTER DATA SLT'!$C$4:$G$544,5,0)</f>
        <v>45</v>
      </c>
      <c r="U18">
        <f>VLOOKUP(B18,'SALARY DETALES'!$B$2:$S$475,18,0)</f>
        <v>27500</v>
      </c>
    </row>
    <row r="19" spans="1:21" x14ac:dyDescent="0.3">
      <c r="A19">
        <v>18</v>
      </c>
      <c r="B19">
        <v>1031</v>
      </c>
      <c r="C19" t="s">
        <v>416</v>
      </c>
      <c r="D19" t="s">
        <v>1863</v>
      </c>
      <c r="E19" t="str">
        <f>VLOOKUP(B19,'MASTER DATA SLT'!$C$4:$H$544,6,0)</f>
        <v>NO</v>
      </c>
      <c r="F19" t="str">
        <f>VLOOKUP(B19,'MASTER DATA SLT'!$C$4:$F$544,4,0)</f>
        <v>2024-05-01</v>
      </c>
      <c r="G19" t="str">
        <f>VLOOKUP(B19,'MASTER DATA SLT'!$C$4:$P$544,14,0)</f>
        <v>42201-5933199</v>
      </c>
      <c r="I19" t="str">
        <f>VLOOKUP(B19,'MASTER DATA SLT'!$C$4:$Q$544,15,0)</f>
        <v>03101160628</v>
      </c>
      <c r="J19">
        <f>VLOOKUP(B19,'MASTER DATA SLT'!$C$4:$R$544,16,0)</f>
        <v>0</v>
      </c>
      <c r="K19">
        <f>VLOOKUP(B19,'MASTER DATA SLT'!$C$4:$S$544,17,0)</f>
        <v>0</v>
      </c>
      <c r="N19" t="str">
        <f>VLOOKUP(B19,'SALARY DETALES'!$B$2:$C$475,2,0)</f>
        <v>Assembler</v>
      </c>
      <c r="O19" t="str">
        <f>VLOOKUP(B19,'SALARY DETALES'!$B$2:$D$475,3,0)</f>
        <v>ASSEMBLER</v>
      </c>
      <c r="Q19" t="str">
        <f>VLOOKUP(B19,'MASTER DATA SLT'!$C$4:$F$544,4,0)</f>
        <v>2024-05-01</v>
      </c>
      <c r="R19">
        <f>VLOOKUP(B19,'MASTER DATA SLT'!$C$4:$G$544,5,0)</f>
        <v>45</v>
      </c>
      <c r="U19">
        <f>VLOOKUP(B19,'SALARY DETALES'!$B$2:$S$475,18,0)</f>
        <v>30000</v>
      </c>
    </row>
    <row r="20" spans="1:21" x14ac:dyDescent="0.3">
      <c r="A20">
        <v>19</v>
      </c>
      <c r="B20">
        <v>80415</v>
      </c>
      <c r="C20" t="s">
        <v>91</v>
      </c>
      <c r="D20" t="s">
        <v>2137</v>
      </c>
      <c r="E20" t="str">
        <f>VLOOKUP(B20,'MASTER DATA SLT'!$C$4:$H$544,6,0)</f>
        <v>NO</v>
      </c>
      <c r="F20" t="str">
        <f>VLOOKUP(B20,'MASTER DATA SLT'!$C$4:$F$544,4,0)</f>
        <v>2024-10-01</v>
      </c>
      <c r="G20" t="str">
        <f>VLOOKUP(B20,'MASTER DATA SLT'!$C$4:$P$544,14,0)</f>
        <v>42201-4528447</v>
      </c>
      <c r="I20" t="str">
        <f>VLOOKUP(B20,'MASTER DATA SLT'!$C$4:$Q$544,15,0)</f>
        <v>03142109616</v>
      </c>
      <c r="J20">
        <f>VLOOKUP(B20,'MASTER DATA SLT'!$C$4:$R$544,16,0)</f>
        <v>0</v>
      </c>
      <c r="K20">
        <f>VLOOKUP(B20,'MASTER DATA SLT'!$C$4:$S$544,17,0)</f>
        <v>0</v>
      </c>
      <c r="N20" t="str">
        <f>VLOOKUP(B20,'SALARY DETALES'!$B$2:$C$475,2,0)</f>
        <v>Assembler</v>
      </c>
      <c r="O20" t="str">
        <f>VLOOKUP(B20,'SALARY DETALES'!$B$2:$D$475,3,0)</f>
        <v>ASSEMBLER</v>
      </c>
      <c r="Q20" t="str">
        <f>VLOOKUP(B20,'MASTER DATA SLT'!$C$4:$F$544,4,0)</f>
        <v>2024-10-01</v>
      </c>
      <c r="R20">
        <f>VLOOKUP(B20,'MASTER DATA SLT'!$C$4:$G$544,5,0)</f>
        <v>60</v>
      </c>
      <c r="U20">
        <f>VLOOKUP(B20,'SALARY DETALES'!$B$2:$S$475,18,0)</f>
        <v>32000</v>
      </c>
    </row>
    <row r="21" spans="1:21" x14ac:dyDescent="0.3">
      <c r="A21">
        <v>20</v>
      </c>
      <c r="B21">
        <v>80601</v>
      </c>
      <c r="C21" t="s">
        <v>1845</v>
      </c>
      <c r="D21" t="s">
        <v>1866</v>
      </c>
      <c r="E21" t="str">
        <f>VLOOKUP(B21,'MASTER DATA SLT'!$C$4:$H$544,6,0)</f>
        <v>BUS</v>
      </c>
      <c r="F21" t="str">
        <f>VLOOKUP(B21,'MASTER DATA SLT'!$C$4:$F$544,4,0)</f>
        <v>2025-01-19</v>
      </c>
      <c r="G21" t="str">
        <f>VLOOKUP(B21,'MASTER DATA SLT'!$C$4:$P$544,14,0)</f>
        <v>14301-6968178</v>
      </c>
      <c r="I21" t="str">
        <f>VLOOKUP(B21,'MASTER DATA SLT'!$C$4:$Q$544,15,0)</f>
        <v>0314-0202215</v>
      </c>
      <c r="J21">
        <f>VLOOKUP(B21,'MASTER DATA SLT'!$C$4:$R$544,16,0)</f>
        <v>0</v>
      </c>
      <c r="K21">
        <f>VLOOKUP(B21,'MASTER DATA SLT'!$C$4:$S$544,17,0)</f>
        <v>0</v>
      </c>
      <c r="N21" t="str">
        <f>VLOOKUP(B21,'SALARY DETALES'!$B$2:$C$475,2,0)</f>
        <v>LAUNDRY</v>
      </c>
      <c r="O21" t="str">
        <f>VLOOKUP(B21,'SALARY DETALES'!$B$2:$D$475,3,0)</f>
        <v>LAUNDRY</v>
      </c>
      <c r="Q21" t="str">
        <f>VLOOKUP(B21,'MASTER DATA SLT'!$C$4:$F$544,4,0)</f>
        <v>2025-01-19</v>
      </c>
      <c r="R21">
        <f>VLOOKUP(B21,'MASTER DATA SLT'!$C$4:$G$544,5,0)</f>
        <v>0</v>
      </c>
      <c r="U21">
        <f>VLOOKUP(B21,'SALARY DETALES'!$B$2:$S$475,18,0)</f>
        <v>16000</v>
      </c>
    </row>
    <row r="22" spans="1:21" x14ac:dyDescent="0.3">
      <c r="A22">
        <v>21</v>
      </c>
      <c r="B22">
        <v>80610</v>
      </c>
      <c r="C22" t="s">
        <v>1867</v>
      </c>
      <c r="D22" t="s">
        <v>2138</v>
      </c>
      <c r="E22" t="str">
        <f>VLOOKUP(B22,'MASTER DATA SLT'!$C$4:$H$544,6,0)</f>
        <v>BUS</v>
      </c>
      <c r="F22" t="str">
        <f>VLOOKUP(B22,'MASTER DATA SLT'!$C$4:$F$544,4,0)</f>
        <v>2025-02-01</v>
      </c>
      <c r="G22" t="str">
        <f>VLOOKUP(B22,'MASTER DATA SLT'!$C$4:$P$544,14,0)</f>
        <v>42201-5393489</v>
      </c>
      <c r="I22" t="str">
        <f>VLOOKUP(B22,'MASTER DATA SLT'!$C$4:$Q$544,15,0)</f>
        <v>03188298008</v>
      </c>
      <c r="J22">
        <f>VLOOKUP(B22,'MASTER DATA SLT'!$C$4:$R$544,16,0)</f>
        <v>0</v>
      </c>
      <c r="K22">
        <f>VLOOKUP(B22,'MASTER DATA SLT'!$C$4:$S$544,17,0)</f>
        <v>0</v>
      </c>
      <c r="N22" t="str">
        <f>VLOOKUP(B22,'SALARY DETALES'!$B$2:$C$475,2,0)</f>
        <v>Assembler</v>
      </c>
      <c r="O22" t="str">
        <f>VLOOKUP(B22,'SALARY DETALES'!$B$2:$D$475,3,0)</f>
        <v>ASSEMBLER INCHARGE</v>
      </c>
      <c r="Q22" t="str">
        <f>VLOOKUP(B22,'MASTER DATA SLT'!$C$4:$F$544,4,0)</f>
        <v>2025-02-01</v>
      </c>
      <c r="R22">
        <f>VLOOKUP(B22,'MASTER DATA SLT'!$C$4:$G$544,5,0)</f>
        <v>0</v>
      </c>
      <c r="U22">
        <f>VLOOKUP(B22,'SALARY DETALES'!$B$2:$S$475,18,0)</f>
        <v>32000</v>
      </c>
    </row>
    <row r="23" spans="1:21" x14ac:dyDescent="0.3">
      <c r="A23">
        <v>22</v>
      </c>
      <c r="B23">
        <v>80632</v>
      </c>
      <c r="C23" t="s">
        <v>1870</v>
      </c>
      <c r="D23" t="s">
        <v>2139</v>
      </c>
      <c r="E23" t="str">
        <f>VLOOKUP(B23,'MASTER DATA SLT'!$C$4:$H$544,6,0)</f>
        <v>BUS</v>
      </c>
      <c r="F23" t="str">
        <f>VLOOKUP(B23,'MASTER DATA SLT'!$C$4:$F$544,4,0)</f>
        <v>2025-02-09</v>
      </c>
      <c r="G23" t="str">
        <f>VLOOKUP(B23,'MASTER DATA SLT'!$C$4:$P$544,14,0)</f>
        <v>42201-6509833</v>
      </c>
      <c r="I23" t="str">
        <f>VLOOKUP(B23,'MASTER DATA SLT'!$C$4:$Q$544,15,0)</f>
        <v>03437704441</v>
      </c>
      <c r="J23">
        <f>VLOOKUP(B23,'MASTER DATA SLT'!$C$4:$R$544,16,0)</f>
        <v>0</v>
      </c>
      <c r="K23">
        <f>VLOOKUP(B23,'MASTER DATA SLT'!$C$4:$S$544,17,0)</f>
        <v>0</v>
      </c>
      <c r="N23" t="str">
        <f>VLOOKUP(B23,'SALARY DETALES'!$B$2:$C$475,2,0)</f>
        <v>LAUNDRY</v>
      </c>
      <c r="O23" t="str">
        <f>VLOOKUP(B23,'SALARY DETALES'!$B$2:$D$475,3,0)</f>
        <v>LAUNDRY</v>
      </c>
      <c r="Q23" t="str">
        <f>VLOOKUP(B23,'MASTER DATA SLT'!$C$4:$F$544,4,0)</f>
        <v>2025-02-09</v>
      </c>
      <c r="R23">
        <f>VLOOKUP(B23,'MASTER DATA SLT'!$C$4:$G$544,5,0)</f>
        <v>0</v>
      </c>
      <c r="U23">
        <f>VLOOKUP(B23,'SALARY DETALES'!$B$2:$S$475,18,0)</f>
        <v>16000</v>
      </c>
    </row>
    <row r="24" spans="1:21" x14ac:dyDescent="0.3">
      <c r="A24">
        <v>23</v>
      </c>
      <c r="B24">
        <v>80797</v>
      </c>
      <c r="C24" t="s">
        <v>97</v>
      </c>
      <c r="D24" t="s">
        <v>2137</v>
      </c>
      <c r="E24" t="str">
        <f>VLOOKUP(B24,'MASTER DATA SLT'!$C$4:$H$544,6,0)</f>
        <v>BUS</v>
      </c>
      <c r="F24" t="str">
        <f>VLOOKUP(B24,'MASTER DATA SLT'!$C$4:$F$544,4,0)</f>
        <v>2025-04-16</v>
      </c>
      <c r="G24">
        <f>VLOOKUP(B24,'MASTER DATA SLT'!$C$4:$P$544,14,0)</f>
        <v>0</v>
      </c>
      <c r="I24">
        <f>VLOOKUP(B24,'MASTER DATA SLT'!$C$4:$Q$544,15,0)</f>
        <v>0</v>
      </c>
      <c r="J24">
        <f>VLOOKUP(B24,'MASTER DATA SLT'!$C$4:$R$544,16,0)</f>
        <v>0</v>
      </c>
      <c r="K24">
        <f>VLOOKUP(B24,'MASTER DATA SLT'!$C$4:$S$544,17,0)</f>
        <v>0</v>
      </c>
      <c r="N24" t="str">
        <f>VLOOKUP(B24,'SALARY DETALES'!$B$2:$C$475,2,0)</f>
        <v>Assembler</v>
      </c>
      <c r="O24" t="str">
        <f>VLOOKUP(B24,'SALARY DETALES'!$B$2:$D$475,3,0)</f>
        <v>Assembler</v>
      </c>
      <c r="Q24" t="str">
        <f>VLOOKUP(B24,'MASTER DATA SLT'!$C$4:$F$544,4,0)</f>
        <v>2025-04-16</v>
      </c>
      <c r="R24">
        <f>VLOOKUP(B24,'MASTER DATA SLT'!$C$4:$G$544,5,0)</f>
        <v>0</v>
      </c>
      <c r="U24">
        <f>VLOOKUP(B24,'SALARY DETALES'!$B$2:$S$475,18,0)</f>
        <v>25000</v>
      </c>
    </row>
    <row r="25" spans="1:21" x14ac:dyDescent="0.3">
      <c r="A25">
        <v>24</v>
      </c>
      <c r="B25">
        <v>27085</v>
      </c>
      <c r="C25" t="s">
        <v>406</v>
      </c>
      <c r="D25" t="s">
        <v>2140</v>
      </c>
      <c r="E25" t="str">
        <f>VLOOKUP(B25,'MASTER DATA SLT'!$C$4:$H$544,6,0)</f>
        <v>NO</v>
      </c>
      <c r="F25" t="str">
        <f>VLOOKUP(B25,'MASTER DATA SLT'!$C$4:$F$544,4,0)</f>
        <v>2023-02-06</v>
      </c>
      <c r="G25">
        <f>VLOOKUP(B25,'MASTER DATA SLT'!$C$4:$P$544,14,0)</f>
        <v>0</v>
      </c>
      <c r="I25">
        <f>VLOOKUP(B25,'MASTER DATA SLT'!$C$4:$Q$544,15,0)</f>
        <v>0</v>
      </c>
      <c r="J25">
        <f>VLOOKUP(B25,'MASTER DATA SLT'!$C$4:$R$544,16,0)</f>
        <v>0</v>
      </c>
      <c r="K25">
        <f>VLOOKUP(B25,'MASTER DATA SLT'!$C$4:$S$544,17,0)</f>
        <v>0</v>
      </c>
      <c r="N25" t="str">
        <f>VLOOKUP(B25,'SALARY DETALES'!$B$2:$C$475,2,0)</f>
        <v>BAKERY</v>
      </c>
      <c r="O25" t="str">
        <f>VLOOKUP(B25,'SALARY DETALES'!$B$2:$D$475,3,0)</f>
        <v>Bakery</v>
      </c>
      <c r="Q25" t="str">
        <f>VLOOKUP(B25,'MASTER DATA SLT'!$C$4:$F$544,4,0)</f>
        <v>2023-02-06</v>
      </c>
      <c r="R25">
        <f>VLOOKUP(B25,'MASTER DATA SLT'!$C$4:$G$544,5,0)</f>
        <v>0</v>
      </c>
      <c r="U25">
        <f>VLOOKUP(B25,'SALARY DETALES'!$B$2:$S$475,18,0)</f>
        <v>30000</v>
      </c>
    </row>
    <row r="26" spans="1:21" x14ac:dyDescent="0.3">
      <c r="A26">
        <v>25</v>
      </c>
      <c r="B26">
        <v>3045</v>
      </c>
      <c r="C26" t="s">
        <v>1872</v>
      </c>
      <c r="D26" t="s">
        <v>1839</v>
      </c>
      <c r="E26" t="str">
        <f>VLOOKUP(B26,'MASTER DATA SLT'!$C$4:$H$544,6,0)</f>
        <v>NO</v>
      </c>
      <c r="F26" t="str">
        <f>VLOOKUP(B26,'MASTER DATA SLT'!$C$4:$F$544,4,0)</f>
        <v>2023-12-18</v>
      </c>
      <c r="G26">
        <f>VLOOKUP(B26,'MASTER DATA SLT'!$C$4:$P$544,14,0)</f>
        <v>0</v>
      </c>
      <c r="I26">
        <f>VLOOKUP(B26,'MASTER DATA SLT'!$C$4:$Q$544,15,0)</f>
        <v>0</v>
      </c>
      <c r="J26">
        <f>VLOOKUP(B26,'MASTER DATA SLT'!$C$4:$R$544,16,0)</f>
        <v>0</v>
      </c>
      <c r="K26">
        <f>VLOOKUP(B26,'MASTER DATA SLT'!$C$4:$S$544,17,0)</f>
        <v>0</v>
      </c>
      <c r="N26" t="str">
        <f>VLOOKUP(B26,'SALARY DETALES'!$B$2:$C$475,2,0)</f>
        <v>BAKERY</v>
      </c>
      <c r="O26" t="str">
        <f>VLOOKUP(B26,'SALARY DETALES'!$B$2:$D$475,3,0)</f>
        <v>Bakery</v>
      </c>
      <c r="Q26" t="str">
        <f>VLOOKUP(B26,'MASTER DATA SLT'!$C$4:$F$544,4,0)</f>
        <v>2023-12-18</v>
      </c>
      <c r="R26">
        <f>VLOOKUP(B26,'MASTER DATA SLT'!$C$4:$G$544,5,0)</f>
        <v>60</v>
      </c>
      <c r="U26">
        <f>VLOOKUP(B26,'SALARY DETALES'!$B$2:$S$475,18,0)</f>
        <v>40000</v>
      </c>
    </row>
    <row r="27" spans="1:21" x14ac:dyDescent="0.3">
      <c r="A27">
        <v>26</v>
      </c>
      <c r="B27">
        <v>3048</v>
      </c>
      <c r="C27" t="s">
        <v>1845</v>
      </c>
      <c r="D27" t="s">
        <v>249</v>
      </c>
      <c r="E27" t="str">
        <f>VLOOKUP(B27,'MASTER DATA SLT'!$C$4:$H$544,6,0)</f>
        <v>NO</v>
      </c>
      <c r="F27" t="str">
        <f>VLOOKUP(B27,'MASTER DATA SLT'!$C$4:$F$544,4,0)</f>
        <v>2023-12-25</v>
      </c>
      <c r="G27">
        <f>VLOOKUP(B27,'MASTER DATA SLT'!$C$4:$P$544,14,0)</f>
        <v>0</v>
      </c>
      <c r="I27">
        <f>VLOOKUP(B27,'MASTER DATA SLT'!$C$4:$Q$544,15,0)</f>
        <v>0</v>
      </c>
      <c r="J27">
        <f>VLOOKUP(B27,'MASTER DATA SLT'!$C$4:$R$544,16,0)</f>
        <v>0</v>
      </c>
      <c r="K27">
        <f>VLOOKUP(B27,'MASTER DATA SLT'!$C$4:$S$544,17,0)</f>
        <v>0</v>
      </c>
      <c r="N27" t="str">
        <f>VLOOKUP(B27,'SALARY DETALES'!$B$2:$C$475,2,0)</f>
        <v>BAKERY</v>
      </c>
      <c r="O27" t="str">
        <f>VLOOKUP(B27,'SALARY DETALES'!$B$2:$D$475,3,0)</f>
        <v>Bakery</v>
      </c>
      <c r="Q27" t="str">
        <f>VLOOKUP(B27,'MASTER DATA SLT'!$C$4:$F$544,4,0)</f>
        <v>2023-12-25</v>
      </c>
      <c r="R27">
        <f>VLOOKUP(B27,'MASTER DATA SLT'!$C$4:$G$544,5,0)</f>
        <v>0</v>
      </c>
      <c r="U27">
        <f>VLOOKUP(B27,'SALARY DETALES'!$B$2:$S$475,18,0)</f>
        <v>45000</v>
      </c>
    </row>
    <row r="28" spans="1:21" x14ac:dyDescent="0.3">
      <c r="A28">
        <v>27</v>
      </c>
      <c r="B28">
        <v>18003</v>
      </c>
      <c r="C28" t="s">
        <v>1873</v>
      </c>
      <c r="D28" t="s">
        <v>1874</v>
      </c>
      <c r="E28" t="str">
        <f>VLOOKUP(B28,'MASTER DATA SLT'!$C$4:$H$544,6,0)</f>
        <v>BUS</v>
      </c>
      <c r="F28" t="str">
        <f>VLOOKUP(B28,'MASTER DATA SLT'!$C$4:$F$544,4,0)</f>
        <v>2024-02-01</v>
      </c>
      <c r="G28">
        <f>VLOOKUP(B28,'MASTER DATA SLT'!$C$4:$P$544,14,0)</f>
        <v>0</v>
      </c>
      <c r="I28">
        <f>VLOOKUP(B28,'MASTER DATA SLT'!$C$4:$Q$544,15,0)</f>
        <v>0</v>
      </c>
      <c r="J28">
        <f>VLOOKUP(B28,'MASTER DATA SLT'!$C$4:$R$544,16,0)</f>
        <v>0</v>
      </c>
      <c r="K28">
        <f>VLOOKUP(B28,'MASTER DATA SLT'!$C$4:$S$544,17,0)</f>
        <v>0</v>
      </c>
      <c r="N28" t="str">
        <f>VLOOKUP(B28,'SALARY DETALES'!$B$2:$C$475,2,0)</f>
        <v>BBQ</v>
      </c>
      <c r="O28" t="str">
        <f>VLOOKUP(B28,'SALARY DETALES'!$B$2:$D$475,3,0)</f>
        <v>BBQ Helper</v>
      </c>
      <c r="Q28" t="str">
        <f>VLOOKUP(B28,'MASTER DATA SLT'!$C$4:$F$544,4,0)</f>
        <v>2024-02-01</v>
      </c>
      <c r="R28">
        <f>VLOOKUP(B28,'MASTER DATA SLT'!$C$4:$G$544,5,0)</f>
        <v>0</v>
      </c>
      <c r="U28">
        <f>VLOOKUP(B28,'SALARY DETALES'!$B$2:$S$475,18,0)</f>
        <v>26400</v>
      </c>
    </row>
    <row r="29" spans="1:21" x14ac:dyDescent="0.3">
      <c r="A29">
        <v>28</v>
      </c>
      <c r="B29">
        <v>2026</v>
      </c>
      <c r="C29" t="s">
        <v>106</v>
      </c>
      <c r="D29" t="s">
        <v>2137</v>
      </c>
      <c r="E29" t="str">
        <f>VLOOKUP(B29,'MASTER DATA SLT'!$C$4:$H$544,6,0)</f>
        <v>BUS</v>
      </c>
      <c r="F29" t="str">
        <f>VLOOKUP(B29,'MASTER DATA SLT'!$C$4:$F$544,4,0)</f>
        <v>2022-01-02</v>
      </c>
      <c r="G29">
        <f>VLOOKUP(B29,'MASTER DATA SLT'!$C$4:$P$544,14,0)</f>
        <v>0</v>
      </c>
      <c r="I29">
        <f>VLOOKUP(B29,'MASTER DATA SLT'!$C$4:$Q$544,15,0)</f>
        <v>0</v>
      </c>
      <c r="J29">
        <f>VLOOKUP(B29,'MASTER DATA SLT'!$C$4:$R$544,16,0)</f>
        <v>0</v>
      </c>
      <c r="K29">
        <f>VLOOKUP(B29,'MASTER DATA SLT'!$C$4:$S$544,17,0)</f>
        <v>0</v>
      </c>
      <c r="N29" t="str">
        <f>VLOOKUP(B29,'SALARY DETALES'!$B$2:$C$475,2,0)</f>
        <v>BBQ</v>
      </c>
      <c r="O29" t="str">
        <f>VLOOKUP(B29,'SALARY DETALES'!$B$2:$D$475,3,0)</f>
        <v>BBQ Helper</v>
      </c>
      <c r="Q29" t="str">
        <f>VLOOKUP(B29,'MASTER DATA SLT'!$C$4:$F$544,4,0)</f>
        <v>2022-01-02</v>
      </c>
      <c r="R29">
        <f>VLOOKUP(B29,'MASTER DATA SLT'!$C$4:$G$544,5,0)</f>
        <v>0</v>
      </c>
      <c r="U29">
        <f>VLOOKUP(B29,'SALARY DETALES'!$B$2:$S$475,18,0)</f>
        <v>27500</v>
      </c>
    </row>
    <row r="30" spans="1:21" x14ac:dyDescent="0.3">
      <c r="A30">
        <v>29</v>
      </c>
      <c r="B30">
        <v>2027</v>
      </c>
      <c r="C30" t="s">
        <v>519</v>
      </c>
      <c r="D30" t="s">
        <v>1863</v>
      </c>
      <c r="E30" t="str">
        <f>VLOOKUP(B30,'MASTER DATA SLT'!$C$4:$H$544,6,0)</f>
        <v>NO</v>
      </c>
      <c r="F30" t="str">
        <f>VLOOKUP(B30,'MASTER DATA SLT'!$C$4:$F$544,4,0)</f>
        <v>2024-03-20</v>
      </c>
      <c r="G30">
        <f>VLOOKUP(B30,'MASTER DATA SLT'!$C$4:$P$544,14,0)</f>
        <v>0</v>
      </c>
      <c r="I30">
        <f>VLOOKUP(B30,'MASTER DATA SLT'!$C$4:$Q$544,15,0)</f>
        <v>0</v>
      </c>
      <c r="J30">
        <f>VLOOKUP(B30,'MASTER DATA SLT'!$C$4:$R$544,16,0)</f>
        <v>0</v>
      </c>
      <c r="K30">
        <f>VLOOKUP(B30,'MASTER DATA SLT'!$C$4:$S$544,17,0)</f>
        <v>0</v>
      </c>
      <c r="N30" t="str">
        <f>VLOOKUP(B30,'SALARY DETALES'!$B$2:$C$475,2,0)</f>
        <v>BBQ</v>
      </c>
      <c r="O30" t="str">
        <f>VLOOKUP(B30,'SALARY DETALES'!$B$2:$D$475,3,0)</f>
        <v>BBQ senior</v>
      </c>
      <c r="Q30" t="str">
        <f>VLOOKUP(B30,'MASTER DATA SLT'!$C$4:$F$544,4,0)</f>
        <v>2024-03-20</v>
      </c>
      <c r="R30">
        <f>VLOOKUP(B30,'MASTER DATA SLT'!$C$4:$G$544,5,0)</f>
        <v>60</v>
      </c>
      <c r="U30">
        <f>VLOOKUP(B30,'SALARY DETALES'!$B$2:$S$475,18,0)</f>
        <v>44000</v>
      </c>
    </row>
    <row r="31" spans="1:21" x14ac:dyDescent="0.3">
      <c r="A31">
        <v>30</v>
      </c>
      <c r="B31">
        <v>2028</v>
      </c>
      <c r="C31" t="s">
        <v>1875</v>
      </c>
      <c r="D31" t="s">
        <v>180</v>
      </c>
      <c r="E31" t="str">
        <f>VLOOKUP(B31,'MASTER DATA SLT'!$C$4:$H$544,6,0)</f>
        <v>BUS</v>
      </c>
      <c r="F31" t="str">
        <f>VLOOKUP(B31,'MASTER DATA SLT'!$C$4:$F$544,4,0)</f>
        <v>2023-08-31</v>
      </c>
      <c r="G31" t="str">
        <f>VLOOKUP(B31,'MASTER DATA SLT'!$C$4:$P$544,14,0)</f>
        <v>42301-9795102</v>
      </c>
      <c r="I31">
        <f>VLOOKUP(B31,'MASTER DATA SLT'!$C$4:$Q$544,15,0)</f>
        <v>3401736731</v>
      </c>
      <c r="J31">
        <f>VLOOKUP(B31,'MASTER DATA SLT'!$C$4:$R$544,16,0)</f>
        <v>3461747618</v>
      </c>
      <c r="K31" t="str">
        <f>VLOOKUP(B31,'MASTER DATA SLT'!$C$4:$S$544,17,0)</f>
        <v>HOUSE NO:9 BLOCK 245 RAILWAY COLONY KARACHI</v>
      </c>
      <c r="N31" t="str">
        <f>VLOOKUP(B31,'SALARY DETALES'!$B$2:$C$475,2,0)</f>
        <v>BBQ</v>
      </c>
      <c r="O31" t="str">
        <f>VLOOKUP(B31,'SALARY DETALES'!$B$2:$D$475,3,0)</f>
        <v>BBQ senior</v>
      </c>
      <c r="Q31" t="str">
        <f>VLOOKUP(B31,'MASTER DATA SLT'!$C$4:$F$544,4,0)</f>
        <v>2023-08-31</v>
      </c>
      <c r="R31">
        <f>VLOOKUP(B31,'MASTER DATA SLT'!$C$4:$G$544,5,0)</f>
        <v>0</v>
      </c>
      <c r="U31">
        <f>VLOOKUP(B31,'SALARY DETALES'!$B$2:$S$475,18,0)</f>
        <v>49500</v>
      </c>
    </row>
    <row r="32" spans="1:21" x14ac:dyDescent="0.3">
      <c r="A32">
        <v>31</v>
      </c>
      <c r="B32">
        <v>12045</v>
      </c>
      <c r="C32" t="s">
        <v>1876</v>
      </c>
      <c r="D32" t="s">
        <v>1874</v>
      </c>
      <c r="E32" t="str">
        <f>VLOOKUP(B32,'MASTER DATA SLT'!$C$4:$H$544,6,0)</f>
        <v>BUS</v>
      </c>
      <c r="F32" t="str">
        <f>VLOOKUP(B32,'MASTER DATA SLT'!$C$4:$F$544,4,0)</f>
        <v>2022-12-27</v>
      </c>
      <c r="G32">
        <f>VLOOKUP(B32,'MASTER DATA SLT'!$C$4:$P$544,14,0)</f>
        <v>0</v>
      </c>
      <c r="I32">
        <f>VLOOKUP(B32,'MASTER DATA SLT'!$C$4:$Q$544,15,0)</f>
        <v>0</v>
      </c>
      <c r="J32">
        <f>VLOOKUP(B32,'MASTER DATA SLT'!$C$4:$R$544,16,0)</f>
        <v>0</v>
      </c>
      <c r="K32">
        <f>VLOOKUP(B32,'MASTER DATA SLT'!$C$4:$S$544,17,0)</f>
        <v>0</v>
      </c>
      <c r="N32" t="str">
        <f>VLOOKUP(B32,'SALARY DETALES'!$B$2:$C$475,2,0)</f>
        <v>BBQ</v>
      </c>
      <c r="O32" t="str">
        <f>VLOOKUP(B32,'SALARY DETALES'!$B$2:$D$475,3,0)</f>
        <v>BBQ Helper</v>
      </c>
      <c r="Q32" t="str">
        <f>VLOOKUP(B32,'MASTER DATA SLT'!$C$4:$F$544,4,0)</f>
        <v>2022-12-27</v>
      </c>
      <c r="R32">
        <f>VLOOKUP(B32,'MASTER DATA SLT'!$C$4:$G$544,5,0)</f>
        <v>0</v>
      </c>
      <c r="U32">
        <f>VLOOKUP(B32,'SALARY DETALES'!$B$2:$S$475,18,0)</f>
        <v>32000</v>
      </c>
    </row>
    <row r="33" spans="1:21" x14ac:dyDescent="0.3">
      <c r="A33">
        <v>32</v>
      </c>
      <c r="B33">
        <v>22131</v>
      </c>
      <c r="C33" t="s">
        <v>1877</v>
      </c>
      <c r="D33" t="s">
        <v>1863</v>
      </c>
      <c r="E33" t="str">
        <f>VLOOKUP(B33,'MASTER DATA SLT'!$C$4:$H$544,6,0)</f>
        <v>BUS</v>
      </c>
      <c r="F33" t="str">
        <f>VLOOKUP(B33,'MASTER DATA SLT'!$C$4:$F$544,4,0)</f>
        <v>2022-01-27</v>
      </c>
      <c r="G33">
        <f>VLOOKUP(B33,'MASTER DATA SLT'!$C$4:$P$544,14,0)</f>
        <v>0</v>
      </c>
      <c r="I33">
        <f>VLOOKUP(B33,'MASTER DATA SLT'!$C$4:$Q$544,15,0)</f>
        <v>0</v>
      </c>
      <c r="J33">
        <f>VLOOKUP(B33,'MASTER DATA SLT'!$C$4:$R$544,16,0)</f>
        <v>0</v>
      </c>
      <c r="K33">
        <f>VLOOKUP(B33,'MASTER DATA SLT'!$C$4:$S$544,17,0)</f>
        <v>0</v>
      </c>
      <c r="N33" t="str">
        <f>VLOOKUP(B33,'SALARY DETALES'!$B$2:$C$475,2,0)</f>
        <v>BBQ</v>
      </c>
      <c r="O33" t="str">
        <f>VLOOKUP(B33,'SALARY DETALES'!$B$2:$D$475,3,0)</f>
        <v>BBQ Helper</v>
      </c>
      <c r="Q33" t="str">
        <f>VLOOKUP(B33,'MASTER DATA SLT'!$C$4:$F$544,4,0)</f>
        <v>2022-01-27</v>
      </c>
      <c r="R33">
        <f>VLOOKUP(B33,'MASTER DATA SLT'!$C$4:$G$544,5,0)</f>
        <v>0</v>
      </c>
      <c r="U33">
        <f>VLOOKUP(B33,'SALARY DETALES'!$B$2:$S$475,18,0)</f>
        <v>30000</v>
      </c>
    </row>
    <row r="34" spans="1:21" x14ac:dyDescent="0.3">
      <c r="A34">
        <v>33</v>
      </c>
      <c r="B34">
        <v>2038</v>
      </c>
      <c r="C34" t="s">
        <v>112</v>
      </c>
      <c r="D34" t="s">
        <v>2137</v>
      </c>
      <c r="E34" t="str">
        <f>VLOOKUP(B34,'MASTER DATA SLT'!$C$4:$H$544,6,0)</f>
        <v>BUS</v>
      </c>
      <c r="F34" t="str">
        <f>VLOOKUP(B34,'MASTER DATA SLT'!$C$4:$F$544,4,0)</f>
        <v>2024-08-10</v>
      </c>
      <c r="G34" t="str">
        <f>VLOOKUP(B34,'MASTER DATA SLT'!$C$4:$P$544,14,0)</f>
        <v>42301-9795102</v>
      </c>
      <c r="I34">
        <f>VLOOKUP(B34,'MASTER DATA SLT'!$C$4:$Q$544,15,0)</f>
        <v>3464087550</v>
      </c>
      <c r="J34">
        <f>VLOOKUP(B34,'MASTER DATA SLT'!$C$4:$R$544,16,0)</f>
        <v>0</v>
      </c>
      <c r="K34" t="str">
        <f>VLOOKUP(B34,'MASTER DATA SLT'!$C$4:$S$544,17,0)</f>
        <v>HOUSE NO:9 BLOCK 245 C RAILWAY COLONY KARACHI</v>
      </c>
      <c r="N34" t="str">
        <f>VLOOKUP(B34,'SALARY DETALES'!$B$2:$C$475,2,0)</f>
        <v>BBQ</v>
      </c>
      <c r="O34" t="str">
        <f>VLOOKUP(B34,'SALARY DETALES'!$B$2:$D$475,3,0)</f>
        <v>BBQ Helper</v>
      </c>
      <c r="Q34" t="str">
        <f>VLOOKUP(B34,'MASTER DATA SLT'!$C$4:$F$544,4,0)</f>
        <v>2024-08-10</v>
      </c>
      <c r="R34">
        <f>VLOOKUP(B34,'MASTER DATA SLT'!$C$4:$G$544,5,0)</f>
        <v>0</v>
      </c>
      <c r="U34">
        <f>VLOOKUP(B34,'SALARY DETALES'!$B$2:$S$475,18,0)</f>
        <v>25000</v>
      </c>
    </row>
    <row r="35" spans="1:21" x14ac:dyDescent="0.3">
      <c r="A35">
        <v>34</v>
      </c>
      <c r="B35">
        <v>2046</v>
      </c>
      <c r="C35" t="s">
        <v>1878</v>
      </c>
      <c r="D35" t="s">
        <v>1845</v>
      </c>
      <c r="E35" t="str">
        <f>VLOOKUP(B35,'MASTER DATA SLT'!$C$4:$H$544,6,0)</f>
        <v>BUS</v>
      </c>
      <c r="F35" t="str">
        <f>VLOOKUP(B35,'MASTER DATA SLT'!$C$4:$F$544,4,0)</f>
        <v>2024-07-01</v>
      </c>
      <c r="G35">
        <f>VLOOKUP(B35,'MASTER DATA SLT'!$C$4:$P$544,14,0)</f>
        <v>0</v>
      </c>
      <c r="I35" t="str">
        <f>VLOOKUP(B35,'MASTER DATA SLT'!$C$4:$Q$544,15,0)</f>
        <v>0309-8735236</v>
      </c>
      <c r="J35">
        <f>VLOOKUP(B35,'MASTER DATA SLT'!$C$4:$R$544,16,0)</f>
        <v>0</v>
      </c>
      <c r="K35">
        <f>VLOOKUP(B35,'MASTER DATA SLT'!$C$4:$S$544,17,0)</f>
        <v>0</v>
      </c>
      <c r="N35" t="str">
        <f>VLOOKUP(B35,'SALARY DETALES'!$B$2:$C$475,2,0)</f>
        <v>BBQ</v>
      </c>
      <c r="O35" t="str">
        <f>VLOOKUP(B35,'SALARY DETALES'!$B$2:$D$475,3,0)</f>
        <v>BBQ Filling</v>
      </c>
      <c r="Q35" t="str">
        <f>VLOOKUP(B35,'MASTER DATA SLT'!$C$4:$F$544,4,0)</f>
        <v>2024-07-01</v>
      </c>
      <c r="R35">
        <f>VLOOKUP(B35,'MASTER DATA SLT'!$C$4:$G$544,5,0)</f>
        <v>0</v>
      </c>
      <c r="U35">
        <f>VLOOKUP(B35,'SALARY DETALES'!$B$2:$S$475,18,0)</f>
        <v>35000</v>
      </c>
    </row>
    <row r="36" spans="1:21" x14ac:dyDescent="0.3">
      <c r="A36">
        <v>35</v>
      </c>
      <c r="B36">
        <v>2001</v>
      </c>
      <c r="C36" t="s">
        <v>1845</v>
      </c>
      <c r="D36" t="s">
        <v>1879</v>
      </c>
      <c r="E36" t="str">
        <f>VLOOKUP(B36,'MASTER DATA SLT'!$C$4:$H$544,6,0)</f>
        <v>BUS</v>
      </c>
      <c r="F36" t="str">
        <f>VLOOKUP(B36,'MASTER DATA SLT'!$C$4:$F$544,4,0)</f>
        <v>2023-04-12</v>
      </c>
      <c r="G36" t="str">
        <f>VLOOKUP(B36,'MASTER DATA SLT'!$C$4:$P$544,14,0)</f>
        <v>37101-7738194</v>
      </c>
      <c r="I36">
        <f>VLOOKUP(B36,'MASTER DATA SLT'!$C$4:$Q$544,15,0)</f>
        <v>0</v>
      </c>
      <c r="J36">
        <f>VLOOKUP(B36,'MASTER DATA SLT'!$C$4:$R$544,16,0)</f>
        <v>0</v>
      </c>
      <c r="K36">
        <f>VLOOKUP(B36,'MASTER DATA SLT'!$C$4:$S$544,17,0)</f>
        <v>0</v>
      </c>
      <c r="N36" t="str">
        <f>VLOOKUP(B36,'SALARY DETALES'!$B$2:$C$475,2,0)</f>
        <v>BBQ</v>
      </c>
      <c r="O36" t="str">
        <f>VLOOKUP(B36,'SALARY DETALES'!$B$2:$D$475,3,0)</f>
        <v>BBQ CHEF</v>
      </c>
      <c r="Q36" t="str">
        <f>VLOOKUP(B36,'MASTER DATA SLT'!$C$4:$F$544,4,0)</f>
        <v>2023-04-12</v>
      </c>
      <c r="R36">
        <f>VLOOKUP(B36,'MASTER DATA SLT'!$C$4:$G$544,5,0)</f>
        <v>0</v>
      </c>
      <c r="U36">
        <f>VLOOKUP(B36,'SALARY DETALES'!$B$2:$S$475,18,0)</f>
        <v>100000</v>
      </c>
    </row>
    <row r="37" spans="1:21" x14ac:dyDescent="0.3">
      <c r="A37">
        <v>36</v>
      </c>
      <c r="B37">
        <v>2054</v>
      </c>
      <c r="C37" t="s">
        <v>118</v>
      </c>
      <c r="D37" t="s">
        <v>2137</v>
      </c>
      <c r="E37" t="str">
        <f>VLOOKUP(B37,'MASTER DATA SLT'!$C$4:$H$544,6,0)</f>
        <v>BUS</v>
      </c>
      <c r="F37" t="str">
        <f>VLOOKUP(B37,'MASTER DATA SLT'!$C$4:$F$544,4,0)</f>
        <v>2023-06-17</v>
      </c>
      <c r="G37">
        <f>VLOOKUP(B37,'MASTER DATA SLT'!$C$4:$P$544,14,0)</f>
        <v>0</v>
      </c>
      <c r="I37">
        <f>VLOOKUP(B37,'MASTER DATA SLT'!$C$4:$Q$544,15,0)</f>
        <v>0</v>
      </c>
      <c r="J37">
        <f>VLOOKUP(B37,'MASTER DATA SLT'!$C$4:$R$544,16,0)</f>
        <v>0</v>
      </c>
      <c r="K37">
        <f>VLOOKUP(B37,'MASTER DATA SLT'!$C$4:$S$544,17,0)</f>
        <v>0</v>
      </c>
      <c r="N37" t="str">
        <f>VLOOKUP(B37,'SALARY DETALES'!$B$2:$C$475,2,0)</f>
        <v>BBQ</v>
      </c>
      <c r="O37" t="str">
        <f>VLOOKUP(B37,'SALARY DETALES'!$B$2:$D$475,3,0)</f>
        <v>BBQ Grill</v>
      </c>
      <c r="Q37" t="str">
        <f>VLOOKUP(B37,'MASTER DATA SLT'!$C$4:$F$544,4,0)</f>
        <v>2023-06-17</v>
      </c>
      <c r="R37">
        <f>VLOOKUP(B37,'MASTER DATA SLT'!$C$4:$G$544,5,0)</f>
        <v>0</v>
      </c>
      <c r="U37">
        <f>VLOOKUP(B37,'SALARY DETALES'!$B$2:$S$475,18,0)</f>
        <v>45000</v>
      </c>
    </row>
    <row r="38" spans="1:21" x14ac:dyDescent="0.3">
      <c r="A38">
        <v>37</v>
      </c>
      <c r="B38">
        <v>2062</v>
      </c>
      <c r="C38" t="s">
        <v>1880</v>
      </c>
      <c r="D38" t="s">
        <v>1881</v>
      </c>
      <c r="E38" t="str">
        <f>VLOOKUP(B38,'MASTER DATA SLT'!$C$4:$H$544,6,0)</f>
        <v>BUS</v>
      </c>
      <c r="F38" t="str">
        <f>VLOOKUP(B38,'MASTER DATA SLT'!$C$4:$F$544,4,0)</f>
        <v>2024-04-20</v>
      </c>
      <c r="G38">
        <f>VLOOKUP(B38,'MASTER DATA SLT'!$C$4:$P$544,14,0)</f>
        <v>0</v>
      </c>
      <c r="I38" t="str">
        <f>VLOOKUP(B38,'MASTER DATA SLT'!$C$4:$Q$544,15,0)</f>
        <v>03032645989</v>
      </c>
      <c r="J38">
        <f>VLOOKUP(B38,'MASTER DATA SLT'!$C$4:$R$544,16,0)</f>
        <v>0</v>
      </c>
      <c r="K38">
        <f>VLOOKUP(B38,'MASTER DATA SLT'!$C$4:$S$544,17,0)</f>
        <v>0</v>
      </c>
      <c r="N38" t="str">
        <f>VLOOKUP(B38,'SALARY DETALES'!$B$2:$C$475,2,0)</f>
        <v>BBQ</v>
      </c>
      <c r="O38" t="str">
        <f>VLOOKUP(B38,'SALARY DETALES'!$B$2:$D$475,3,0)</f>
        <v>BBQ Helper</v>
      </c>
      <c r="Q38" t="str">
        <f>VLOOKUP(B38,'MASTER DATA SLT'!$C$4:$F$544,4,0)</f>
        <v>2024-04-20</v>
      </c>
      <c r="R38">
        <f>VLOOKUP(B38,'MASTER DATA SLT'!$C$4:$G$544,5,0)</f>
        <v>0</v>
      </c>
      <c r="U38">
        <f>VLOOKUP(B38,'SALARY DETALES'!$B$2:$S$475,18,0)</f>
        <v>50000</v>
      </c>
    </row>
    <row r="39" spans="1:21" x14ac:dyDescent="0.3">
      <c r="A39">
        <v>38</v>
      </c>
      <c r="B39">
        <v>80381</v>
      </c>
      <c r="C39" t="s">
        <v>1882</v>
      </c>
      <c r="D39" t="s">
        <v>1883</v>
      </c>
      <c r="E39" t="str">
        <f>VLOOKUP(B39,'MASTER DATA SLT'!$C$4:$H$544,6,0)</f>
        <v>BUS</v>
      </c>
      <c r="F39" t="str">
        <f>VLOOKUP(B39,'MASTER DATA SLT'!$C$4:$F$544,4,0)</f>
        <v>2024-09-13</v>
      </c>
      <c r="G39" t="str">
        <f>VLOOKUP(B39,'MASTER DATA SLT'!$C$4:$P$544,14,0)</f>
        <v>2101-5291526-</v>
      </c>
      <c r="I39" t="str">
        <f>VLOOKUP(B39,'MASTER DATA SLT'!$C$4:$Q$544,15,0)</f>
        <v>03140091141</v>
      </c>
      <c r="J39">
        <f>VLOOKUP(B39,'MASTER DATA SLT'!$C$4:$R$544,16,0)</f>
        <v>0</v>
      </c>
      <c r="K39">
        <f>VLOOKUP(B39,'MASTER DATA SLT'!$C$4:$S$544,17,0)</f>
        <v>0</v>
      </c>
      <c r="N39" t="str">
        <f>VLOOKUP(B39,'SALARY DETALES'!$B$2:$C$475,2,0)</f>
        <v>BBQ</v>
      </c>
      <c r="O39" t="str">
        <f>VLOOKUP(B39,'SALARY DETALES'!$B$2:$D$475,3,0)</f>
        <v>BBQ HELPER</v>
      </c>
      <c r="Q39" t="str">
        <f>VLOOKUP(B39,'MASTER DATA SLT'!$C$4:$F$544,4,0)</f>
        <v>2024-09-13</v>
      </c>
      <c r="R39">
        <f>VLOOKUP(B39,'MASTER DATA SLT'!$C$4:$G$544,5,0)</f>
        <v>0</v>
      </c>
      <c r="U39">
        <f>VLOOKUP(B39,'SALARY DETALES'!$B$2:$S$475,18,0)</f>
        <v>25000</v>
      </c>
    </row>
    <row r="40" spans="1:21" x14ac:dyDescent="0.3">
      <c r="A40">
        <v>39</v>
      </c>
      <c r="B40">
        <v>80452</v>
      </c>
      <c r="C40" t="s">
        <v>1884</v>
      </c>
      <c r="D40" t="s">
        <v>2141</v>
      </c>
      <c r="E40" t="str">
        <f>VLOOKUP(B40,'MASTER DATA SLT'!$C$4:$H$544,6,0)</f>
        <v>BUS</v>
      </c>
      <c r="F40" t="str">
        <f>VLOOKUP(B40,'MASTER DATA SLT'!$C$4:$F$544,4,0)</f>
        <v>2024-10-14</v>
      </c>
      <c r="G40" t="str">
        <f>VLOOKUP(B40,'MASTER DATA SLT'!$C$4:$P$544,14,0)</f>
        <v>13201-5559110</v>
      </c>
      <c r="I40" t="str">
        <f>VLOOKUP(B40,'MASTER DATA SLT'!$C$4:$Q$544,15,0)</f>
        <v>0332978654</v>
      </c>
      <c r="J40">
        <f>VLOOKUP(B40,'MASTER DATA SLT'!$C$4:$R$544,16,0)</f>
        <v>0</v>
      </c>
      <c r="K40">
        <f>VLOOKUP(B40,'MASTER DATA SLT'!$C$4:$S$544,17,0)</f>
        <v>0</v>
      </c>
      <c r="N40" t="str">
        <f>VLOOKUP(B40,'SALARY DETALES'!$B$2:$C$475,2,0)</f>
        <v>BBQ</v>
      </c>
      <c r="O40" t="str">
        <f>VLOOKUP(B40,'SALARY DETALES'!$B$2:$D$475,3,0)</f>
        <v>BBQ COOCK</v>
      </c>
      <c r="Q40" t="str">
        <f>VLOOKUP(B40,'MASTER DATA SLT'!$C$4:$F$544,4,0)</f>
        <v>2024-10-14</v>
      </c>
      <c r="R40">
        <f>VLOOKUP(B40,'MASTER DATA SLT'!$C$4:$G$544,5,0)</f>
        <v>0</v>
      </c>
      <c r="U40">
        <f>VLOOKUP(B40,'SALARY DETALES'!$B$2:$S$475,18,0)</f>
        <v>45000</v>
      </c>
    </row>
    <row r="41" spans="1:21" x14ac:dyDescent="0.3">
      <c r="A41">
        <v>40</v>
      </c>
      <c r="B41">
        <v>80453</v>
      </c>
      <c r="C41" t="s">
        <v>452</v>
      </c>
      <c r="D41" t="s">
        <v>1863</v>
      </c>
      <c r="E41" t="str">
        <f>VLOOKUP(B41,'MASTER DATA SLT'!$C$4:$H$544,6,0)</f>
        <v>BUS</v>
      </c>
      <c r="F41" t="str">
        <f>VLOOKUP(B41,'MASTER DATA SLT'!$C$4:$F$544,4,0)</f>
        <v>2024-10-16</v>
      </c>
      <c r="G41" t="str">
        <f>VLOOKUP(B41,'MASTER DATA SLT'!$C$4:$P$544,14,0)</f>
        <v>16203-0400834</v>
      </c>
      <c r="I41" t="str">
        <f>VLOOKUP(B41,'MASTER DATA SLT'!$C$4:$Q$544,15,0)</f>
        <v>03433170192</v>
      </c>
      <c r="J41">
        <f>VLOOKUP(B41,'MASTER DATA SLT'!$C$4:$R$544,16,0)</f>
        <v>0</v>
      </c>
      <c r="K41">
        <f>VLOOKUP(B41,'MASTER DATA SLT'!$C$4:$S$544,17,0)</f>
        <v>0</v>
      </c>
      <c r="N41" t="str">
        <f>VLOOKUP(B41,'SALARY DETALES'!$B$2:$C$475,2,0)</f>
        <v>BBQ</v>
      </c>
      <c r="O41" t="str">
        <f>VLOOKUP(B41,'SALARY DETALES'!$B$2:$D$475,3,0)</f>
        <v>BBQ COOCK</v>
      </c>
      <c r="Q41" t="str">
        <f>VLOOKUP(B41,'MASTER DATA SLT'!$C$4:$F$544,4,0)</f>
        <v>2024-10-16</v>
      </c>
      <c r="R41">
        <f>VLOOKUP(B41,'MASTER DATA SLT'!$C$4:$G$544,5,0)</f>
        <v>0</v>
      </c>
      <c r="U41">
        <f>VLOOKUP(B41,'SALARY DETALES'!$B$2:$S$475,18,0)</f>
        <v>35000</v>
      </c>
    </row>
    <row r="42" spans="1:21" x14ac:dyDescent="0.3">
      <c r="A42">
        <v>41</v>
      </c>
      <c r="B42">
        <v>80537</v>
      </c>
      <c r="C42" t="s">
        <v>1886</v>
      </c>
      <c r="D42" t="s">
        <v>1863</v>
      </c>
      <c r="E42" t="str">
        <f>VLOOKUP(B42,'MASTER DATA SLT'!$C$4:$H$544,6,0)</f>
        <v>BUS</v>
      </c>
      <c r="F42" t="str">
        <f>VLOOKUP(B42,'MASTER DATA SLT'!$C$4:$F$544,4,0)</f>
        <v>2024-12-14</v>
      </c>
      <c r="G42" t="str">
        <f>VLOOKUP(B42,'MASTER DATA SLT'!$C$4:$P$544,14,0)</f>
        <v>42201-6356415</v>
      </c>
      <c r="I42" t="str">
        <f>VLOOKUP(B42,'MASTER DATA SLT'!$C$4:$Q$544,15,0)</f>
        <v>03442694569</v>
      </c>
      <c r="J42">
        <f>VLOOKUP(B42,'MASTER DATA SLT'!$C$4:$R$544,16,0)</f>
        <v>0</v>
      </c>
      <c r="K42">
        <f>VLOOKUP(B42,'MASTER DATA SLT'!$C$4:$S$544,17,0)</f>
        <v>0</v>
      </c>
      <c r="N42" t="str">
        <f>VLOOKUP(B42,'SALARY DETALES'!$B$2:$C$475,2,0)</f>
        <v>BBQ</v>
      </c>
      <c r="O42" t="str">
        <f>VLOOKUP(B42,'SALARY DETALES'!$B$2:$D$475,3,0)</f>
        <v>HELPER</v>
      </c>
      <c r="Q42" t="str">
        <f>VLOOKUP(B42,'MASTER DATA SLT'!$C$4:$F$544,4,0)</f>
        <v>2024-12-14</v>
      </c>
      <c r="R42">
        <f>VLOOKUP(B42,'MASTER DATA SLT'!$C$4:$G$544,5,0)</f>
        <v>0</v>
      </c>
      <c r="U42">
        <f>VLOOKUP(B42,'SALARY DETALES'!$B$2:$S$475,18,0)</f>
        <v>16000</v>
      </c>
    </row>
    <row r="43" spans="1:21" x14ac:dyDescent="0.3">
      <c r="A43">
        <v>42</v>
      </c>
      <c r="B43">
        <v>80591</v>
      </c>
      <c r="C43" t="s">
        <v>1887</v>
      </c>
      <c r="D43" t="s">
        <v>1869</v>
      </c>
      <c r="E43" t="str">
        <f>VLOOKUP(B43,'MASTER DATA SLT'!$C$4:$H$544,6,0)</f>
        <v>BUS</v>
      </c>
      <c r="F43" t="str">
        <f>VLOOKUP(B43,'MASTER DATA SLT'!$C$4:$F$544,4,0)</f>
        <v>2025-01-18</v>
      </c>
      <c r="G43" t="str">
        <f>VLOOKUP(B43,'MASTER DATA SLT'!$C$4:$P$544,14,0)</f>
        <v>15201-7532758</v>
      </c>
      <c r="I43" t="str">
        <f>VLOOKUP(B43,'MASTER DATA SLT'!$C$4:$Q$544,15,0)</f>
        <v>03153174449</v>
      </c>
      <c r="J43">
        <f>VLOOKUP(B43,'MASTER DATA SLT'!$C$4:$R$544,16,0)</f>
        <v>0</v>
      </c>
      <c r="K43">
        <f>VLOOKUP(B43,'MASTER DATA SLT'!$C$4:$S$544,17,0)</f>
        <v>0</v>
      </c>
      <c r="N43" t="str">
        <f>VLOOKUP(B43,'SALARY DETALES'!$B$2:$C$475,2,0)</f>
        <v>BBQ</v>
      </c>
      <c r="O43" t="str">
        <f>VLOOKUP(B43,'SALARY DETALES'!$B$2:$D$475,3,0)</f>
        <v>bbq helper</v>
      </c>
      <c r="Q43" t="str">
        <f>VLOOKUP(B43,'MASTER DATA SLT'!$C$4:$F$544,4,0)</f>
        <v>2025-01-18</v>
      </c>
      <c r="R43">
        <f>VLOOKUP(B43,'MASTER DATA SLT'!$C$4:$G$544,5,0)</f>
        <v>0</v>
      </c>
      <c r="U43">
        <f>VLOOKUP(B43,'SALARY DETALES'!$B$2:$S$475,18,0)</f>
        <v>25000</v>
      </c>
    </row>
    <row r="44" spans="1:21" x14ac:dyDescent="0.3">
      <c r="A44">
        <v>43</v>
      </c>
      <c r="B44">
        <v>80658</v>
      </c>
      <c r="C44" t="s">
        <v>1888</v>
      </c>
      <c r="D44" t="s">
        <v>1889</v>
      </c>
      <c r="E44" t="str">
        <f>VLOOKUP(B44,'MASTER DATA SLT'!$C$4:$H$544,6,0)</f>
        <v>BUS</v>
      </c>
      <c r="F44" t="str">
        <f>VLOOKUP(B44,'MASTER DATA SLT'!$C$4:$F$544,4,0)</f>
        <v>2025-02-08</v>
      </c>
      <c r="G44">
        <f>VLOOKUP(B44,'MASTER DATA SLT'!$C$4:$P$544,14,0)</f>
        <v>0</v>
      </c>
      <c r="I44">
        <f>VLOOKUP(B44,'MASTER DATA SLT'!$C$4:$Q$544,15,0)</f>
        <v>0</v>
      </c>
      <c r="J44">
        <f>VLOOKUP(B44,'MASTER DATA SLT'!$C$4:$R$544,16,0)</f>
        <v>0</v>
      </c>
      <c r="K44">
        <f>VLOOKUP(B44,'MASTER DATA SLT'!$C$4:$S$544,17,0)</f>
        <v>0</v>
      </c>
      <c r="N44" t="str">
        <f>VLOOKUP(B44,'SALARY DETALES'!$B$2:$C$475,2,0)</f>
        <v>BBQ</v>
      </c>
      <c r="O44" t="str">
        <f>VLOOKUP(B44,'SALARY DETALES'!$B$2:$D$475,3,0)</f>
        <v>Bbq helper</v>
      </c>
      <c r="Q44" t="str">
        <f>VLOOKUP(B44,'MASTER DATA SLT'!$C$4:$F$544,4,0)</f>
        <v>2025-02-08</v>
      </c>
      <c r="R44">
        <f>VLOOKUP(B44,'MASTER DATA SLT'!$C$4:$G$544,5,0)</f>
        <v>0</v>
      </c>
      <c r="U44">
        <f>VLOOKUP(B44,'SALARY DETALES'!$B$2:$S$475,18,0)</f>
        <v>25000</v>
      </c>
    </row>
    <row r="45" spans="1:21" x14ac:dyDescent="0.3">
      <c r="A45">
        <v>44</v>
      </c>
      <c r="B45">
        <v>3049</v>
      </c>
      <c r="C45" t="s">
        <v>1890</v>
      </c>
      <c r="D45" t="s">
        <v>1869</v>
      </c>
      <c r="E45" t="str">
        <f>VLOOKUP(B45,'MASTER DATA SLT'!$C$4:$H$544,6,0)</f>
        <v>NO</v>
      </c>
      <c r="F45" t="str">
        <f>VLOOKUP(B45,'MASTER DATA SLT'!$C$4:$F$544,4,0)</f>
        <v>2024-01-27</v>
      </c>
      <c r="G45">
        <f>VLOOKUP(B45,'MASTER DATA SLT'!$C$4:$P$544,14,0)</f>
        <v>0</v>
      </c>
      <c r="I45">
        <f>VLOOKUP(B45,'MASTER DATA SLT'!$C$4:$Q$544,15,0)</f>
        <v>0</v>
      </c>
      <c r="J45">
        <f>VLOOKUP(B45,'MASTER DATA SLT'!$C$4:$R$544,16,0)</f>
        <v>0</v>
      </c>
      <c r="K45">
        <f>VLOOKUP(B45,'MASTER DATA SLT'!$C$4:$S$544,17,0)</f>
        <v>0</v>
      </c>
      <c r="N45" t="str">
        <f>VLOOKUP(B45,'SALARY DETALES'!$B$2:$C$475,2,0)</f>
        <v>BEVERAGES</v>
      </c>
      <c r="O45" t="str">
        <f>VLOOKUP(B45,'SALARY DETALES'!$B$2:$D$475,3,0)</f>
        <v>Beverages</v>
      </c>
      <c r="Q45" t="str">
        <f>VLOOKUP(B45,'MASTER DATA SLT'!$C$4:$F$544,4,0)</f>
        <v>2024-01-27</v>
      </c>
      <c r="R45">
        <f>VLOOKUP(B45,'MASTER DATA SLT'!$C$4:$G$544,5,0)</f>
        <v>0</v>
      </c>
      <c r="U45">
        <f>VLOOKUP(B45,'SALARY DETALES'!$B$2:$S$475,18,0)</f>
        <v>22000</v>
      </c>
    </row>
    <row r="46" spans="1:21" x14ac:dyDescent="0.3">
      <c r="A46">
        <v>45</v>
      </c>
      <c r="B46">
        <v>3050</v>
      </c>
      <c r="C46" t="s">
        <v>1891</v>
      </c>
      <c r="D46" t="s">
        <v>1846</v>
      </c>
      <c r="E46" t="str">
        <f>VLOOKUP(B46,'MASTER DATA SLT'!$C$4:$H$544,6,0)</f>
        <v>NO</v>
      </c>
      <c r="F46" t="str">
        <f>VLOOKUP(B46,'MASTER DATA SLT'!$C$4:$F$544,4,0)</f>
        <v>2024-02-02</v>
      </c>
      <c r="G46">
        <f>VLOOKUP(B46,'MASTER DATA SLT'!$C$4:$P$544,14,0)</f>
        <v>0</v>
      </c>
      <c r="I46">
        <f>VLOOKUP(B46,'MASTER DATA SLT'!$C$4:$Q$544,15,0)</f>
        <v>0</v>
      </c>
      <c r="J46">
        <f>VLOOKUP(B46,'MASTER DATA SLT'!$C$4:$R$544,16,0)</f>
        <v>0</v>
      </c>
      <c r="K46">
        <f>VLOOKUP(B46,'MASTER DATA SLT'!$C$4:$S$544,17,0)</f>
        <v>0</v>
      </c>
      <c r="N46" t="str">
        <f>VLOOKUP(B46,'SALARY DETALES'!$B$2:$C$475,2,0)</f>
        <v>BEVERAGES</v>
      </c>
      <c r="O46" t="str">
        <f>VLOOKUP(B46,'SALARY DETALES'!$B$2:$D$475,3,0)</f>
        <v>Beverages</v>
      </c>
      <c r="Q46" t="str">
        <f>VLOOKUP(B46,'MASTER DATA SLT'!$C$4:$F$544,4,0)</f>
        <v>2024-02-02</v>
      </c>
      <c r="R46">
        <f>VLOOKUP(B46,'MASTER DATA SLT'!$C$4:$G$544,5,0)</f>
        <v>0</v>
      </c>
      <c r="U46">
        <f>VLOOKUP(B46,'SALARY DETALES'!$B$2:$S$475,18,0)</f>
        <v>22000</v>
      </c>
    </row>
    <row r="47" spans="1:21" x14ac:dyDescent="0.3">
      <c r="A47">
        <v>46</v>
      </c>
      <c r="B47">
        <v>4002</v>
      </c>
      <c r="C47" t="s">
        <v>1848</v>
      </c>
      <c r="D47" t="s">
        <v>1892</v>
      </c>
      <c r="E47" t="str">
        <f>VLOOKUP(B47,'MASTER DATA SLT'!$C$4:$H$544,6,0)</f>
        <v>NO</v>
      </c>
      <c r="F47" t="str">
        <f>VLOOKUP(B47,'MASTER DATA SLT'!$C$4:$F$544,4,0)</f>
        <v>2021-12-30</v>
      </c>
      <c r="G47">
        <f>VLOOKUP(B47,'MASTER DATA SLT'!$C$4:$P$544,14,0)</f>
        <v>0</v>
      </c>
      <c r="I47">
        <f>VLOOKUP(B47,'MASTER DATA SLT'!$C$4:$Q$544,15,0)</f>
        <v>0</v>
      </c>
      <c r="J47">
        <f>VLOOKUP(B47,'MASTER DATA SLT'!$C$4:$R$544,16,0)</f>
        <v>0</v>
      </c>
      <c r="K47">
        <f>VLOOKUP(B47,'MASTER DATA SLT'!$C$4:$S$544,17,0)</f>
        <v>0</v>
      </c>
      <c r="N47" t="str">
        <f>VLOOKUP(B47,'SALARY DETALES'!$B$2:$C$475,2,0)</f>
        <v>BUTCHER</v>
      </c>
      <c r="O47" t="str">
        <f>VLOOKUP(B47,'SALARY DETALES'!$B$2:$D$475,3,0)</f>
        <v>BUTCHER</v>
      </c>
      <c r="Q47" t="str">
        <f>VLOOKUP(B47,'MASTER DATA SLT'!$C$4:$F$544,4,0)</f>
        <v>2021-12-30</v>
      </c>
      <c r="R47">
        <f>VLOOKUP(B47,'MASTER DATA SLT'!$C$4:$G$544,5,0)</f>
        <v>0</v>
      </c>
      <c r="U47">
        <f>VLOOKUP(B47,'SALARY DETALES'!$B$2:$S$475,18,0)</f>
        <v>49500</v>
      </c>
    </row>
    <row r="48" spans="1:21" x14ac:dyDescent="0.3">
      <c r="A48">
        <v>47</v>
      </c>
      <c r="B48">
        <v>4003</v>
      </c>
      <c r="C48" t="s">
        <v>1875</v>
      </c>
      <c r="D48" t="s">
        <v>1893</v>
      </c>
      <c r="E48" t="str">
        <f>VLOOKUP(B48,'MASTER DATA SLT'!$C$4:$H$544,6,0)</f>
        <v>NO</v>
      </c>
      <c r="F48" t="str">
        <f>VLOOKUP(B48,'MASTER DATA SLT'!$C$4:$F$544,4,0)</f>
        <v>2021-12-21</v>
      </c>
      <c r="G48">
        <f>VLOOKUP(B48,'MASTER DATA SLT'!$C$4:$P$544,14,0)</f>
        <v>0</v>
      </c>
      <c r="I48">
        <f>VLOOKUP(B48,'MASTER DATA SLT'!$C$4:$Q$544,15,0)</f>
        <v>0</v>
      </c>
      <c r="J48">
        <f>VLOOKUP(B48,'MASTER DATA SLT'!$C$4:$R$544,16,0)</f>
        <v>0</v>
      </c>
      <c r="K48">
        <f>VLOOKUP(B48,'MASTER DATA SLT'!$C$4:$S$544,17,0)</f>
        <v>0</v>
      </c>
      <c r="N48" t="str">
        <f>VLOOKUP(B48,'SALARY DETALES'!$B$2:$C$475,2,0)</f>
        <v>BUTCHER</v>
      </c>
      <c r="O48" t="str">
        <f>VLOOKUP(B48,'SALARY DETALES'!$B$2:$D$475,3,0)</f>
        <v>BUTCHER EXECUITIVE</v>
      </c>
      <c r="Q48" t="str">
        <f>VLOOKUP(B48,'MASTER DATA SLT'!$C$4:$F$544,4,0)</f>
        <v>2021-12-21</v>
      </c>
      <c r="R48">
        <f>VLOOKUP(B48,'MASTER DATA SLT'!$C$4:$G$544,5,0)</f>
        <v>0</v>
      </c>
      <c r="U48">
        <f>VLOOKUP(B48,'SALARY DETALES'!$B$2:$S$475,18,0)</f>
        <v>42350</v>
      </c>
    </row>
    <row r="49" spans="1:21" x14ac:dyDescent="0.3">
      <c r="A49">
        <v>48</v>
      </c>
      <c r="B49">
        <v>80439</v>
      </c>
      <c r="C49" t="s">
        <v>440</v>
      </c>
      <c r="D49" t="s">
        <v>1874</v>
      </c>
      <c r="E49" t="str">
        <f>VLOOKUP(B49,'MASTER DATA SLT'!$C$4:$H$544,6,0)</f>
        <v>BUS</v>
      </c>
      <c r="F49" t="str">
        <f>VLOOKUP(B49,'MASTER DATA SLT'!$C$4:$F$544,4,0)</f>
        <v>2024-10-13</v>
      </c>
      <c r="G49" t="str">
        <f>VLOOKUP(B49,'MASTER DATA SLT'!$C$4:$P$544,14,0)</f>
        <v>42201-0238330</v>
      </c>
      <c r="I49" t="str">
        <f>VLOOKUP(B49,'MASTER DATA SLT'!$C$4:$Q$544,15,0)</f>
        <v>0324-*8021640</v>
      </c>
      <c r="J49">
        <f>VLOOKUP(B49,'MASTER DATA SLT'!$C$4:$R$544,16,0)</f>
        <v>0</v>
      </c>
      <c r="K49">
        <f>VLOOKUP(B49,'MASTER DATA SLT'!$C$4:$S$544,17,0)</f>
        <v>0</v>
      </c>
      <c r="N49" t="str">
        <f>VLOOKUP(B49,'SALARY DETALES'!$B$2:$C$475,2,0)</f>
        <v>BUTCHER</v>
      </c>
      <c r="O49" t="str">
        <f>VLOOKUP(B49,'SALARY DETALES'!$B$2:$D$475,3,0)</f>
        <v>Runner</v>
      </c>
      <c r="Q49" t="str">
        <f>VLOOKUP(B49,'MASTER DATA SLT'!$C$4:$F$544,4,0)</f>
        <v>2024-10-13</v>
      </c>
      <c r="R49">
        <f>VLOOKUP(B49,'MASTER DATA SLT'!$C$4:$G$544,5,0)</f>
        <v>0</v>
      </c>
      <c r="U49">
        <f>VLOOKUP(B49,'SALARY DETALES'!$B$2:$S$475,18,0)</f>
        <v>25000</v>
      </c>
    </row>
    <row r="50" spans="1:21" x14ac:dyDescent="0.3">
      <c r="A50">
        <v>49</v>
      </c>
      <c r="B50">
        <v>5025</v>
      </c>
      <c r="C50" t="s">
        <v>1869</v>
      </c>
      <c r="D50" t="s">
        <v>1894</v>
      </c>
      <c r="E50" t="str">
        <f>VLOOKUP(B50,'MASTER DATA SLT'!$C$4:$H$544,6,0)</f>
        <v>NO</v>
      </c>
      <c r="F50" t="str">
        <f>VLOOKUP(B50,'MASTER DATA SLT'!$C$4:$F$544,4,0)</f>
        <v>2022-05-25</v>
      </c>
      <c r="G50">
        <f>VLOOKUP(B50,'MASTER DATA SLT'!$C$4:$P$544,14,0)</f>
        <v>0</v>
      </c>
      <c r="I50">
        <f>VLOOKUP(B50,'MASTER DATA SLT'!$C$4:$Q$544,15,0)</f>
        <v>0</v>
      </c>
      <c r="J50">
        <f>VLOOKUP(B50,'MASTER DATA SLT'!$C$4:$R$544,16,0)</f>
        <v>0</v>
      </c>
      <c r="K50">
        <f>VLOOKUP(B50,'MASTER DATA SLT'!$C$4:$S$544,17,0)</f>
        <v>0</v>
      </c>
      <c r="N50" t="str">
        <f>VLOOKUP(B50,'SALARY DETALES'!$B$2:$C$475,2,0)</f>
        <v>CASH COUNTER</v>
      </c>
      <c r="O50" t="str">
        <f>VLOOKUP(B50,'SALARY DETALES'!$B$2:$D$475,3,0)</f>
        <v>CASHIER</v>
      </c>
      <c r="Q50" t="str">
        <f>VLOOKUP(B50,'MASTER DATA SLT'!$C$4:$F$544,4,0)</f>
        <v>2022-05-25</v>
      </c>
      <c r="R50">
        <f>VLOOKUP(B50,'MASTER DATA SLT'!$C$4:$G$544,5,0)</f>
        <v>0</v>
      </c>
      <c r="U50">
        <f>VLOOKUP(B50,'SALARY DETALES'!$B$2:$S$475,18,0)</f>
        <v>40000</v>
      </c>
    </row>
    <row r="51" spans="1:21" x14ac:dyDescent="0.3">
      <c r="A51">
        <v>50</v>
      </c>
      <c r="B51">
        <v>5028</v>
      </c>
      <c r="C51" t="s">
        <v>1895</v>
      </c>
      <c r="D51" t="s">
        <v>1896</v>
      </c>
      <c r="E51" t="str">
        <f>VLOOKUP(B51,'MASTER DATA SLT'!$C$4:$H$544,6,0)</f>
        <v>NO</v>
      </c>
      <c r="F51" t="str">
        <f>VLOOKUP(B51,'MASTER DATA SLT'!$C$4:$F$544,4,0)</f>
        <v>2022-08-17</v>
      </c>
      <c r="G51" t="str">
        <f>VLOOKUP(B51,'MASTER DATA SLT'!$C$4:$P$544,14,0)</f>
        <v>42101-6123772</v>
      </c>
      <c r="I51">
        <f>VLOOKUP(B51,'MASTER DATA SLT'!$C$4:$Q$544,15,0)</f>
        <v>3181232174</v>
      </c>
      <c r="J51">
        <f>VLOOKUP(B51,'MASTER DATA SLT'!$C$4:$R$544,16,0)</f>
        <v>3112741517</v>
      </c>
      <c r="K51" t="str">
        <f>VLOOKUP(B51,'MASTER DATA SLT'!$C$4:$S$544,17,0)</f>
        <v>R-74 SECTOR 11/L NORTH KARACHI , KARACHI</v>
      </c>
      <c r="N51" t="str">
        <f>VLOOKUP(B51,'SALARY DETALES'!$B$2:$C$475,2,0)</f>
        <v>CASH COUNTER</v>
      </c>
      <c r="O51" t="str">
        <f>VLOOKUP(B51,'SALARY DETALES'!$B$2:$D$475,3,0)</f>
        <v>CASHIER</v>
      </c>
      <c r="Q51" t="str">
        <f>VLOOKUP(B51,'MASTER DATA SLT'!$C$4:$F$544,4,0)</f>
        <v>2022-08-17</v>
      </c>
      <c r="R51">
        <f>VLOOKUP(B51,'MASTER DATA SLT'!$C$4:$G$544,5,0)</f>
        <v>0</v>
      </c>
      <c r="U51">
        <f>VLOOKUP(B51,'SALARY DETALES'!$B$2:$S$475,18,0)</f>
        <v>36300</v>
      </c>
    </row>
    <row r="52" spans="1:21" x14ac:dyDescent="0.3">
      <c r="A52">
        <v>51</v>
      </c>
      <c r="B52">
        <v>5039</v>
      </c>
      <c r="C52" t="s">
        <v>1839</v>
      </c>
      <c r="D52" t="s">
        <v>2132</v>
      </c>
      <c r="E52" t="str">
        <f>VLOOKUP(B52,'MASTER DATA SLT'!$C$4:$H$544,6,0)</f>
        <v>NO</v>
      </c>
      <c r="F52" t="str">
        <f>VLOOKUP(B52,'MASTER DATA SLT'!$C$4:$F$544,4,0)</f>
        <v>2023-01-13</v>
      </c>
      <c r="G52" t="str">
        <f>VLOOKUP(B52,'MASTER DATA SLT'!$C$4:$P$544,14,0)</f>
        <v>42201-2937665</v>
      </c>
      <c r="I52">
        <f>VLOOKUP(B52,'MASTER DATA SLT'!$C$4:$Q$544,15,0)</f>
        <v>3322185198</v>
      </c>
      <c r="J52">
        <f>VLOOKUP(B52,'MASTER DATA SLT'!$C$4:$R$544,16,0)</f>
        <v>3142968680</v>
      </c>
      <c r="K52" t="str">
        <f>VLOOKUP(B52,'MASTER DATA SLT'!$C$4:$S$544,17,0)</f>
        <v>HOUSE NO 125/3 MALIR MODEL COLONY KARACHI</v>
      </c>
      <c r="N52" t="str">
        <f>VLOOKUP(B52,'SALARY DETALES'!$B$2:$C$475,2,0)</f>
        <v>CASH COUNTER</v>
      </c>
      <c r="O52" t="str">
        <f>VLOOKUP(B52,'SALARY DETALES'!$B$2:$D$475,3,0)</f>
        <v>CASHIER</v>
      </c>
      <c r="Q52" t="str">
        <f>VLOOKUP(B52,'MASTER DATA SLT'!$C$4:$F$544,4,0)</f>
        <v>2023-01-13</v>
      </c>
      <c r="R52">
        <f>VLOOKUP(B52,'MASTER DATA SLT'!$C$4:$G$544,5,0)</f>
        <v>30</v>
      </c>
      <c r="U52">
        <f>VLOOKUP(B52,'SALARY DETALES'!$B$2:$S$475,18,0)</f>
        <v>29040</v>
      </c>
    </row>
    <row r="53" spans="1:21" x14ac:dyDescent="0.3">
      <c r="A53">
        <v>52</v>
      </c>
      <c r="B53">
        <v>50643</v>
      </c>
      <c r="C53" t="s">
        <v>1898</v>
      </c>
      <c r="D53" t="s">
        <v>1759</v>
      </c>
      <c r="E53" t="str">
        <f>VLOOKUP(B53,'MASTER DATA SLT'!$C$4:$H$544,6,0)</f>
        <v>NO</v>
      </c>
      <c r="F53" t="str">
        <f>VLOOKUP(B53,'MASTER DATA SLT'!$C$4:$F$544,4,0)</f>
        <v>2023-04-26</v>
      </c>
      <c r="G53">
        <f>VLOOKUP(B53,'MASTER DATA SLT'!$C$4:$P$544,14,0)</f>
        <v>0</v>
      </c>
      <c r="I53">
        <f>VLOOKUP(B53,'MASTER DATA SLT'!$C$4:$Q$544,15,0)</f>
        <v>0</v>
      </c>
      <c r="J53">
        <f>VLOOKUP(B53,'MASTER DATA SLT'!$C$4:$R$544,16,0)</f>
        <v>0</v>
      </c>
      <c r="K53">
        <f>VLOOKUP(B53,'MASTER DATA SLT'!$C$4:$S$544,17,0)</f>
        <v>0</v>
      </c>
      <c r="N53" t="str">
        <f>VLOOKUP(B53,'SALARY DETALES'!$B$2:$C$475,2,0)</f>
        <v>CASH COUNTER</v>
      </c>
      <c r="O53" t="str">
        <f>VLOOKUP(B53,'SALARY DETALES'!$B$2:$D$475,3,0)</f>
        <v>CASHIER</v>
      </c>
      <c r="Q53" t="str">
        <f>VLOOKUP(B53,'MASTER DATA SLT'!$C$4:$F$544,4,0)</f>
        <v>2023-04-26</v>
      </c>
      <c r="R53">
        <f>VLOOKUP(B53,'MASTER DATA SLT'!$C$4:$G$544,5,0)</f>
        <v>0</v>
      </c>
      <c r="U53">
        <f>VLOOKUP(B53,'SALARY DETALES'!$B$2:$S$475,18,0)</f>
        <v>27600</v>
      </c>
    </row>
    <row r="54" spans="1:21" x14ac:dyDescent="0.3">
      <c r="A54">
        <v>53</v>
      </c>
      <c r="B54">
        <v>5045</v>
      </c>
      <c r="C54" t="s">
        <v>1899</v>
      </c>
      <c r="D54" t="s">
        <v>1869</v>
      </c>
      <c r="E54" t="str">
        <f>VLOOKUP(B54,'MASTER DATA SLT'!$C$4:$H$544,6,0)</f>
        <v>NO</v>
      </c>
      <c r="F54" t="str">
        <f>VLOOKUP(B54,'MASTER DATA SLT'!$C$4:$F$544,4,0)</f>
        <v>2023-06-19</v>
      </c>
      <c r="G54">
        <f>VLOOKUP(B54,'MASTER DATA SLT'!$C$4:$P$544,14,0)</f>
        <v>0</v>
      </c>
      <c r="I54">
        <f>VLOOKUP(B54,'MASTER DATA SLT'!$C$4:$Q$544,15,0)</f>
        <v>0</v>
      </c>
      <c r="J54">
        <f>VLOOKUP(B54,'MASTER DATA SLT'!$C$4:$R$544,16,0)</f>
        <v>0</v>
      </c>
      <c r="K54">
        <f>VLOOKUP(B54,'MASTER DATA SLT'!$C$4:$S$544,17,0)</f>
        <v>0</v>
      </c>
      <c r="N54" t="str">
        <f>VLOOKUP(B54,'SALARY DETALES'!$B$2:$C$475,2,0)</f>
        <v>CASH COUNTER</v>
      </c>
      <c r="O54" t="str">
        <f>VLOOKUP(B54,'SALARY DETALES'!$B$2:$D$475,3,0)</f>
        <v>CASHIER</v>
      </c>
      <c r="Q54" t="str">
        <f>VLOOKUP(B54,'MASTER DATA SLT'!$C$4:$F$544,4,0)</f>
        <v>2023-06-19</v>
      </c>
      <c r="R54">
        <f>VLOOKUP(B54,'MASTER DATA SLT'!$C$4:$G$544,5,0)</f>
        <v>60</v>
      </c>
      <c r="U54">
        <f>VLOOKUP(B54,'SALARY DETALES'!$B$2:$S$475,18,0)</f>
        <v>26400</v>
      </c>
    </row>
    <row r="55" spans="1:21" x14ac:dyDescent="0.3">
      <c r="A55">
        <v>54</v>
      </c>
      <c r="B55">
        <v>5048</v>
      </c>
      <c r="C55" t="s">
        <v>1845</v>
      </c>
      <c r="D55" t="s">
        <v>341</v>
      </c>
      <c r="E55" t="str">
        <f>VLOOKUP(B55,'MASTER DATA SLT'!$C$4:$H$544,6,0)</f>
        <v>NO</v>
      </c>
      <c r="F55" t="str">
        <f>VLOOKUP(B55,'MASTER DATA SLT'!$C$4:$F$544,4,0)</f>
        <v>2024-03-01</v>
      </c>
      <c r="G55">
        <f>VLOOKUP(B55,'MASTER DATA SLT'!$C$4:$P$544,14,0)</f>
        <v>0</v>
      </c>
      <c r="I55" t="str">
        <f>VLOOKUP(B55,'MASTER DATA SLT'!$C$4:$Q$544,15,0)</f>
        <v>03420730865</v>
      </c>
      <c r="J55">
        <f>VLOOKUP(B55,'MASTER DATA SLT'!$C$4:$R$544,16,0)</f>
        <v>0</v>
      </c>
      <c r="K55">
        <f>VLOOKUP(B55,'MASTER DATA SLT'!$C$4:$S$544,17,0)</f>
        <v>0</v>
      </c>
      <c r="N55" t="str">
        <f>VLOOKUP(B55,'SALARY DETALES'!$B$2:$C$475,2,0)</f>
        <v>CASH COUNTER</v>
      </c>
      <c r="O55" t="str">
        <f>VLOOKUP(B55,'SALARY DETALES'!$B$2:$D$475,3,0)</f>
        <v>CASHIER</v>
      </c>
      <c r="Q55" t="str">
        <f>VLOOKUP(B55,'MASTER DATA SLT'!$C$4:$F$544,4,0)</f>
        <v>2024-03-01</v>
      </c>
      <c r="R55">
        <f>VLOOKUP(B55,'MASTER DATA SLT'!$C$4:$G$544,5,0)</f>
        <v>0</v>
      </c>
      <c r="U55">
        <f>VLOOKUP(B55,'SALARY DETALES'!$B$2:$S$475,18,0)</f>
        <v>26400</v>
      </c>
    </row>
    <row r="56" spans="1:21" x14ac:dyDescent="0.3">
      <c r="A56">
        <v>55</v>
      </c>
      <c r="B56">
        <v>5026</v>
      </c>
      <c r="C56" t="s">
        <v>1839</v>
      </c>
      <c r="D56" t="s">
        <v>2142</v>
      </c>
      <c r="E56" t="str">
        <f>VLOOKUP(B56,'MASTER DATA SLT'!$C$4:$H$544,6,0)</f>
        <v>NO</v>
      </c>
      <c r="F56" t="str">
        <f>VLOOKUP(B56,'MASTER DATA SLT'!$C$4:$F$544,4,0)</f>
        <v>2024-04-13</v>
      </c>
      <c r="G56">
        <f>VLOOKUP(B56,'MASTER DATA SLT'!$C$4:$P$544,14,0)</f>
        <v>0</v>
      </c>
      <c r="I56">
        <f>VLOOKUP(B56,'MASTER DATA SLT'!$C$4:$Q$544,15,0)</f>
        <v>0</v>
      </c>
      <c r="J56">
        <f>VLOOKUP(B56,'MASTER DATA SLT'!$C$4:$R$544,16,0)</f>
        <v>0</v>
      </c>
      <c r="K56">
        <f>VLOOKUP(B56,'MASTER DATA SLT'!$C$4:$S$544,17,0)</f>
        <v>0</v>
      </c>
      <c r="N56" t="str">
        <f>VLOOKUP(B56,'SALARY DETALES'!$B$2:$C$475,2,0)</f>
        <v>CASH COUNTER</v>
      </c>
      <c r="O56" t="str">
        <f>VLOOKUP(B56,'SALARY DETALES'!$B$2:$D$475,3,0)</f>
        <v>CASHIER</v>
      </c>
      <c r="Q56" t="str">
        <f>VLOOKUP(B56,'MASTER DATA SLT'!$C$4:$F$544,4,0)</f>
        <v>2024-04-13</v>
      </c>
      <c r="R56">
        <f>VLOOKUP(B56,'MASTER DATA SLT'!$C$4:$G$544,5,0)</f>
        <v>0</v>
      </c>
      <c r="U56">
        <f>VLOOKUP(B56,'SALARY DETALES'!$B$2:$S$475,18,0)</f>
        <v>26400</v>
      </c>
    </row>
    <row r="57" spans="1:21" x14ac:dyDescent="0.3">
      <c r="A57">
        <v>56</v>
      </c>
      <c r="B57">
        <v>5050</v>
      </c>
      <c r="C57" t="s">
        <v>150</v>
      </c>
      <c r="D57" t="s">
        <v>2137</v>
      </c>
      <c r="E57" t="str">
        <f>VLOOKUP(B57,'MASTER DATA SLT'!$C$4:$H$544,6,0)</f>
        <v>NO</v>
      </c>
      <c r="F57" t="str">
        <f>VLOOKUP(B57,'MASTER DATA SLT'!$C$4:$F$544,4,0)</f>
        <v>2024-04-24</v>
      </c>
      <c r="G57">
        <f>VLOOKUP(B57,'MASTER DATA SLT'!$C$4:$P$544,14,0)</f>
        <v>0</v>
      </c>
      <c r="I57">
        <f>VLOOKUP(B57,'MASTER DATA SLT'!$C$4:$Q$544,15,0)</f>
        <v>0</v>
      </c>
      <c r="J57">
        <f>VLOOKUP(B57,'MASTER DATA SLT'!$C$4:$R$544,16,0)</f>
        <v>0</v>
      </c>
      <c r="K57">
        <f>VLOOKUP(B57,'MASTER DATA SLT'!$C$4:$S$544,17,0)</f>
        <v>0</v>
      </c>
      <c r="N57" t="str">
        <f>VLOOKUP(B57,'SALARY DETALES'!$B$2:$C$475,2,0)</f>
        <v>CASH COUNTER</v>
      </c>
      <c r="O57" t="str">
        <f>VLOOKUP(B57,'SALARY DETALES'!$B$2:$D$475,3,0)</f>
        <v>CASHIER</v>
      </c>
      <c r="Q57" t="str">
        <f>VLOOKUP(B57,'MASTER DATA SLT'!$C$4:$F$544,4,0)</f>
        <v>2024-04-24</v>
      </c>
      <c r="R57">
        <f>VLOOKUP(B57,'MASTER DATA SLT'!$C$4:$G$544,5,0)</f>
        <v>0</v>
      </c>
      <c r="U57">
        <f>VLOOKUP(B57,'SALARY DETALES'!$B$2:$S$475,18,0)</f>
        <v>26400</v>
      </c>
    </row>
    <row r="58" spans="1:21" x14ac:dyDescent="0.3">
      <c r="A58">
        <v>57</v>
      </c>
      <c r="B58">
        <v>8060</v>
      </c>
      <c r="C58" t="s">
        <v>1858</v>
      </c>
      <c r="D58" t="s">
        <v>2143</v>
      </c>
      <c r="E58" t="str">
        <f>VLOOKUP(B58,'MASTER DATA SLT'!$C$4:$H$544,6,0)</f>
        <v>NO</v>
      </c>
      <c r="F58" t="str">
        <f>VLOOKUP(B58,'MASTER DATA SLT'!$C$4:$F$544,4,0)</f>
        <v>2024-05-15</v>
      </c>
      <c r="G58">
        <f>VLOOKUP(B58,'MASTER DATA SLT'!$C$4:$P$544,14,0)</f>
        <v>0</v>
      </c>
      <c r="I58" t="str">
        <f>VLOOKUP(B58,'MASTER DATA SLT'!$C$4:$Q$544,15,0)</f>
        <v>0334-1288557</v>
      </c>
      <c r="J58">
        <f>VLOOKUP(B58,'MASTER DATA SLT'!$C$4:$R$544,16,0)</f>
        <v>0</v>
      </c>
      <c r="K58" t="str">
        <f>VLOOKUP(B58,'MASTER DATA SLT'!$C$4:$S$544,17,0)</f>
        <v>House # A-156Nazim Abad Karachi</v>
      </c>
      <c r="N58" t="str">
        <f>VLOOKUP(B58,'SALARY DETALES'!$B$2:$C$475,2,0)</f>
        <v>CASH COUNTER</v>
      </c>
      <c r="O58" t="str">
        <f>VLOOKUP(B58,'SALARY DETALES'!$B$2:$D$475,3,0)</f>
        <v>Casher</v>
      </c>
      <c r="Q58" t="str">
        <f>VLOOKUP(B58,'MASTER DATA SLT'!$C$4:$F$544,4,0)</f>
        <v>2024-05-15</v>
      </c>
      <c r="R58">
        <f>VLOOKUP(B58,'MASTER DATA SLT'!$C$4:$G$544,5,0)</f>
        <v>0</v>
      </c>
      <c r="U58">
        <f>VLOOKUP(B58,'SALARY DETALES'!$B$2:$S$475,18,0)</f>
        <v>24000</v>
      </c>
    </row>
    <row r="59" spans="1:21" x14ac:dyDescent="0.3">
      <c r="A59">
        <v>58</v>
      </c>
      <c r="B59">
        <v>80326</v>
      </c>
      <c r="C59" t="s">
        <v>1858</v>
      </c>
      <c r="D59" t="s">
        <v>2144</v>
      </c>
      <c r="E59" t="str">
        <f>VLOOKUP(B59,'MASTER DATA SLT'!$C$4:$H$544,6,0)</f>
        <v>NO</v>
      </c>
      <c r="F59" t="str">
        <f>VLOOKUP(B59,'MASTER DATA SLT'!$C$4:$F$544,4,0)</f>
        <v>2024-08-07</v>
      </c>
      <c r="G59">
        <f>VLOOKUP(B59,'MASTER DATA SLT'!$C$4:$P$544,14,0)</f>
        <v>0</v>
      </c>
      <c r="I59" t="str">
        <f>VLOOKUP(B59,'MASTER DATA SLT'!$C$4:$Q$544,15,0)</f>
        <v>0332-3777588</v>
      </c>
      <c r="J59">
        <f>VLOOKUP(B59,'MASTER DATA SLT'!$C$4:$R$544,16,0)</f>
        <v>0</v>
      </c>
      <c r="K59">
        <f>VLOOKUP(B59,'MASTER DATA SLT'!$C$4:$S$544,17,0)</f>
        <v>0</v>
      </c>
      <c r="N59" t="str">
        <f>VLOOKUP(B59,'SALARY DETALES'!$B$2:$C$475,2,0)</f>
        <v>CASH COUNTER</v>
      </c>
      <c r="O59" t="str">
        <f>VLOOKUP(B59,'SALARY DETALES'!$B$2:$D$475,3,0)</f>
        <v>CASHIER</v>
      </c>
      <c r="Q59" t="str">
        <f>VLOOKUP(B59,'MASTER DATA SLT'!$C$4:$F$544,4,0)</f>
        <v>2024-08-07</v>
      </c>
      <c r="R59">
        <f>VLOOKUP(B59,'MASTER DATA SLT'!$C$4:$G$544,5,0)</f>
        <v>0</v>
      </c>
      <c r="U59">
        <f>VLOOKUP(B59,'SALARY DETALES'!$B$2:$S$475,18,0)</f>
        <v>24000</v>
      </c>
    </row>
    <row r="60" spans="1:21" x14ac:dyDescent="0.3">
      <c r="A60">
        <v>59</v>
      </c>
      <c r="B60">
        <v>80588</v>
      </c>
      <c r="C60" t="s">
        <v>1902</v>
      </c>
      <c r="D60" t="s">
        <v>1903</v>
      </c>
      <c r="E60" t="str">
        <f>VLOOKUP(B60,'MASTER DATA SLT'!$C$4:$H$544,6,0)</f>
        <v>BUS</v>
      </c>
      <c r="F60" t="str">
        <f>VLOOKUP(B60,'MASTER DATA SLT'!$C$4:$F$544,4,0)</f>
        <v>2025-01-12</v>
      </c>
      <c r="G60" t="str">
        <f>VLOOKUP(B60,'MASTER DATA SLT'!$C$4:$P$544,14,0)</f>
        <v>42201-3673154</v>
      </c>
      <c r="I60" t="str">
        <f>VLOOKUP(B60,'MASTER DATA SLT'!$C$4:$Q$544,15,0)</f>
        <v>03222244205</v>
      </c>
      <c r="J60">
        <f>VLOOKUP(B60,'MASTER DATA SLT'!$C$4:$R$544,16,0)</f>
        <v>0</v>
      </c>
      <c r="K60">
        <f>VLOOKUP(B60,'MASTER DATA SLT'!$C$4:$S$544,17,0)</f>
        <v>0</v>
      </c>
      <c r="N60" t="str">
        <f>VLOOKUP(B60,'SALARY DETALES'!$B$2:$C$475,2,0)</f>
        <v>CASH COUNTER</v>
      </c>
      <c r="O60" t="str">
        <f>VLOOKUP(B60,'SALARY DETALES'!$B$2:$D$475,3,0)</f>
        <v>CASHIER</v>
      </c>
      <c r="Q60" t="str">
        <f>VLOOKUP(B60,'MASTER DATA SLT'!$C$4:$F$544,4,0)</f>
        <v>2025-01-12</v>
      </c>
      <c r="R60">
        <f>VLOOKUP(B60,'MASTER DATA SLT'!$C$4:$G$544,5,0)</f>
        <v>0</v>
      </c>
      <c r="U60">
        <f>VLOOKUP(B60,'SALARY DETALES'!$B$2:$S$475,18,0)</f>
        <v>24000</v>
      </c>
    </row>
    <row r="61" spans="1:21" x14ac:dyDescent="0.3">
      <c r="A61">
        <v>60</v>
      </c>
      <c r="B61">
        <v>80596</v>
      </c>
      <c r="C61" t="s">
        <v>1904</v>
      </c>
      <c r="D61" t="s">
        <v>88</v>
      </c>
      <c r="E61" t="str">
        <f>VLOOKUP(B61,'MASTER DATA SLT'!$C$4:$H$544,6,0)</f>
        <v>BUS</v>
      </c>
      <c r="F61" t="str">
        <f>VLOOKUP(B61,'MASTER DATA SLT'!$C$4:$F$544,4,0)</f>
        <v>2025-01-20</v>
      </c>
      <c r="G61" t="str">
        <f>VLOOKUP(B61,'MASTER DATA SLT'!$C$4:$P$544,14,0)</f>
        <v>14301-2380611</v>
      </c>
      <c r="I61" t="str">
        <f>VLOOKUP(B61,'MASTER DATA SLT'!$C$4:$Q$544,15,0)</f>
        <v>03703707424</v>
      </c>
      <c r="J61">
        <f>VLOOKUP(B61,'MASTER DATA SLT'!$C$4:$R$544,16,0)</f>
        <v>0</v>
      </c>
      <c r="K61">
        <f>VLOOKUP(B61,'MASTER DATA SLT'!$C$4:$S$544,17,0)</f>
        <v>0</v>
      </c>
      <c r="N61" t="str">
        <f>VLOOKUP(B61,'SALARY DETALES'!$B$2:$C$475,2,0)</f>
        <v>CASH COUNTER</v>
      </c>
      <c r="O61" t="str">
        <f>VLOOKUP(B61,'SALARY DETALES'!$B$2:$D$475,3,0)</f>
        <v>CASHIER</v>
      </c>
      <c r="Q61" t="str">
        <f>VLOOKUP(B61,'MASTER DATA SLT'!$C$4:$F$544,4,0)</f>
        <v>2025-01-20</v>
      </c>
      <c r="R61">
        <f>VLOOKUP(B61,'MASTER DATA SLT'!$C$4:$G$544,5,0)</f>
        <v>0</v>
      </c>
      <c r="U61">
        <f>VLOOKUP(B61,'SALARY DETALES'!$B$2:$S$475,18,0)</f>
        <v>24000</v>
      </c>
    </row>
    <row r="62" spans="1:21" x14ac:dyDescent="0.3">
      <c r="A62">
        <v>61</v>
      </c>
      <c r="B62">
        <v>80653</v>
      </c>
      <c r="C62" t="s">
        <v>1875</v>
      </c>
      <c r="D62" t="s">
        <v>2145</v>
      </c>
      <c r="E62" t="str">
        <f>VLOOKUP(B62,'MASTER DATA SLT'!$C$4:$H$544,6,0)</f>
        <v>BUS</v>
      </c>
      <c r="F62" t="str">
        <f>VLOOKUP(B62,'MASTER DATA SLT'!$C$4:$F$544,4,0)</f>
        <v>2025-02-28</v>
      </c>
      <c r="G62" t="str">
        <f>VLOOKUP(B62,'MASTER DATA SLT'!$C$4:$P$544,14,0)</f>
        <v>1430-4160217-</v>
      </c>
      <c r="I62" t="str">
        <f>VLOOKUP(B62,'MASTER DATA SLT'!$C$4:$Q$544,15,0)</f>
        <v>031894463</v>
      </c>
      <c r="J62">
        <f>VLOOKUP(B62,'MASTER DATA SLT'!$C$4:$R$544,16,0)</f>
        <v>0</v>
      </c>
      <c r="K62">
        <f>VLOOKUP(B62,'MASTER DATA SLT'!$C$4:$S$544,17,0)</f>
        <v>0</v>
      </c>
      <c r="N62" t="str">
        <f>VLOOKUP(B62,'SALARY DETALES'!$B$2:$C$475,2,0)</f>
        <v>CASH COUNTER</v>
      </c>
      <c r="O62" t="str">
        <f>VLOOKUP(B62,'SALARY DETALES'!$B$2:$D$475,3,0)</f>
        <v>CASHIER</v>
      </c>
      <c r="Q62" t="str">
        <f>VLOOKUP(B62,'MASTER DATA SLT'!$C$4:$F$544,4,0)</f>
        <v>2025-02-28</v>
      </c>
      <c r="R62">
        <f>VLOOKUP(B62,'MASTER DATA SLT'!$C$4:$G$544,5,0)</f>
        <v>0</v>
      </c>
      <c r="U62">
        <f>VLOOKUP(B62,'SALARY DETALES'!$B$2:$S$475,18,0)</f>
        <v>24000</v>
      </c>
    </row>
    <row r="63" spans="1:21" x14ac:dyDescent="0.3">
      <c r="A63">
        <v>62</v>
      </c>
      <c r="B63">
        <v>80815</v>
      </c>
      <c r="C63" t="s">
        <v>489</v>
      </c>
      <c r="D63" t="s">
        <v>1906</v>
      </c>
      <c r="E63" t="str">
        <f>VLOOKUP(B63,'MASTER DATA SLT'!$C$4:$H$544,6,0)</f>
        <v>BUS</v>
      </c>
      <c r="F63" t="str">
        <f>VLOOKUP(B63,'MASTER DATA SLT'!$C$4:$F$544,4,0)</f>
        <v>2025-04-16</v>
      </c>
      <c r="G63" t="str">
        <f>VLOOKUP(B63,'MASTER DATA SLT'!$C$4:$P$544,14,0)</f>
        <v>42201-0561441</v>
      </c>
      <c r="I63">
        <f>VLOOKUP(B63,'MASTER DATA SLT'!$C$4:$Q$544,15,0)</f>
        <v>0</v>
      </c>
      <c r="J63">
        <f>VLOOKUP(B63,'MASTER DATA SLT'!$C$4:$R$544,16,0)</f>
        <v>0</v>
      </c>
      <c r="K63">
        <f>VLOOKUP(B63,'MASTER DATA SLT'!$C$4:$S$544,17,0)</f>
        <v>0</v>
      </c>
      <c r="N63" t="str">
        <f>VLOOKUP(B63,'SALARY DETALES'!$B$2:$C$475,2,0)</f>
        <v>CASH COUNTER</v>
      </c>
      <c r="O63" t="str">
        <f>VLOOKUP(B63,'SALARY DETALES'!$B$2:$D$475,3,0)</f>
        <v>CASHIER</v>
      </c>
      <c r="Q63" t="str">
        <f>VLOOKUP(B63,'MASTER DATA SLT'!$C$4:$F$544,4,0)</f>
        <v>2025-04-16</v>
      </c>
      <c r="R63">
        <f>VLOOKUP(B63,'MASTER DATA SLT'!$C$4:$G$544,5,0)</f>
        <v>0</v>
      </c>
      <c r="U63">
        <f>VLOOKUP(B63,'SALARY DETALES'!$B$2:$S$475,18,0)</f>
        <v>25000</v>
      </c>
    </row>
    <row r="64" spans="1:21" x14ac:dyDescent="0.3">
      <c r="A64">
        <v>63</v>
      </c>
      <c r="B64">
        <v>80816</v>
      </c>
      <c r="C64" t="s">
        <v>1907</v>
      </c>
      <c r="D64" t="s">
        <v>1908</v>
      </c>
      <c r="E64" t="str">
        <f>VLOOKUP(B64,'MASTER DATA SLT'!$C$4:$H$544,6,0)</f>
        <v>BUS</v>
      </c>
      <c r="F64" t="str">
        <f>VLOOKUP(B64,'MASTER DATA SLT'!$C$4:$F$544,4,0)</f>
        <v>2025-04-18</v>
      </c>
      <c r="G64" t="str">
        <f>VLOOKUP(B64,'MASTER DATA SLT'!$C$4:$P$544,14,0)</f>
        <v>42201-8117949</v>
      </c>
      <c r="I64">
        <f>VLOOKUP(B64,'MASTER DATA SLT'!$C$4:$Q$544,15,0)</f>
        <v>0</v>
      </c>
      <c r="J64">
        <f>VLOOKUP(B64,'MASTER DATA SLT'!$C$4:$R$544,16,0)</f>
        <v>0</v>
      </c>
      <c r="K64">
        <f>VLOOKUP(B64,'MASTER DATA SLT'!$C$4:$S$544,17,0)</f>
        <v>0</v>
      </c>
      <c r="N64" t="str">
        <f>VLOOKUP(B64,'SALARY DETALES'!$B$2:$C$475,2,0)</f>
        <v>CASH COUNTER</v>
      </c>
      <c r="O64" t="str">
        <f>VLOOKUP(B64,'SALARY DETALES'!$B$2:$D$475,3,0)</f>
        <v>CASHIER</v>
      </c>
      <c r="Q64" t="str">
        <f>VLOOKUP(B64,'MASTER DATA SLT'!$C$4:$F$544,4,0)</f>
        <v>2025-04-18</v>
      </c>
      <c r="R64">
        <f>VLOOKUP(B64,'MASTER DATA SLT'!$C$4:$G$544,5,0)</f>
        <v>0</v>
      </c>
      <c r="U64">
        <f>VLOOKUP(B64,'SALARY DETALES'!$B$2:$S$475,18,0)</f>
        <v>30000</v>
      </c>
    </row>
    <row r="65" spans="1:21" x14ac:dyDescent="0.3">
      <c r="A65">
        <v>64</v>
      </c>
      <c r="B65">
        <v>8027</v>
      </c>
      <c r="C65" t="s">
        <v>1909</v>
      </c>
      <c r="D65" t="s">
        <v>1869</v>
      </c>
      <c r="E65" t="str">
        <f>VLOOKUP(B65,'MASTER DATA SLT'!$C$4:$H$544,6,0)</f>
        <v>BUS</v>
      </c>
      <c r="F65" t="str">
        <f>VLOOKUP(B65,'MASTER DATA SLT'!$C$4:$F$544,4,0)</f>
        <v>2022-08-02</v>
      </c>
      <c r="G65" t="str">
        <f>VLOOKUP(B65,'MASTER DATA SLT'!$C$4:$P$544,14,0)</f>
        <v>15201-1341615</v>
      </c>
      <c r="I65">
        <f>VLOOKUP(B65,'MASTER DATA SLT'!$C$4:$Q$544,15,0)</f>
        <v>3470006858</v>
      </c>
      <c r="J65">
        <f>VLOOKUP(B65,'MASTER DATA SLT'!$C$4:$R$544,16,0)</f>
        <v>3492387426</v>
      </c>
      <c r="K65" t="str">
        <f>VLOOKUP(B65,'MASTER DATA SLT'!$C$4:$S$544,17,0)</f>
        <v>FLAT NO:G-352 GOLIMAR SULTANABAD KARACHI</v>
      </c>
      <c r="N65" t="str">
        <f>VLOOKUP(B65,'SALARY DETALES'!$B$2:$C$475,2,0)</f>
        <v>Chinese</v>
      </c>
      <c r="O65" t="str">
        <f>VLOOKUP(B65,'SALARY DETALES'!$B$2:$D$475,3,0)</f>
        <v>Chinese Chef</v>
      </c>
      <c r="Q65" t="str">
        <f>VLOOKUP(B65,'MASTER DATA SLT'!$C$4:$F$544,4,0)</f>
        <v>2022-08-02</v>
      </c>
      <c r="R65">
        <f>VLOOKUP(B65,'MASTER DATA SLT'!$C$4:$G$544,5,0)</f>
        <v>0</v>
      </c>
      <c r="U65">
        <f>VLOOKUP(B65,'SALARY DETALES'!$B$2:$S$475,18,0)</f>
        <v>60000</v>
      </c>
    </row>
    <row r="66" spans="1:21" x14ac:dyDescent="0.3">
      <c r="A66">
        <v>65</v>
      </c>
      <c r="B66">
        <v>80320</v>
      </c>
      <c r="C66" t="s">
        <v>164</v>
      </c>
      <c r="D66" t="s">
        <v>2137</v>
      </c>
      <c r="E66" t="str">
        <f>VLOOKUP(B66,'MASTER DATA SLT'!$C$4:$H$544,6,0)</f>
        <v>BUS</v>
      </c>
      <c r="F66" t="str">
        <f>VLOOKUP(B66,'MASTER DATA SLT'!$C$4:$F$544,4,0)</f>
        <v>2024-10-21</v>
      </c>
      <c r="G66" t="str">
        <f>VLOOKUP(B66,'MASTER DATA SLT'!$C$4:$P$544,14,0)</f>
        <v>45302-2008433</v>
      </c>
      <c r="I66" t="str">
        <f>VLOOKUP(B66,'MASTER DATA SLT'!$C$4:$Q$544,15,0)</f>
        <v>0302-2076917</v>
      </c>
      <c r="J66">
        <f>VLOOKUP(B66,'MASTER DATA SLT'!$C$4:$R$544,16,0)</f>
        <v>0</v>
      </c>
      <c r="K66">
        <f>VLOOKUP(B66,'MASTER DATA SLT'!$C$4:$S$544,17,0)</f>
        <v>0</v>
      </c>
      <c r="N66" t="str">
        <f>VLOOKUP(B66,'SALARY DETALES'!$B$2:$C$475,2,0)</f>
        <v>Chinese</v>
      </c>
      <c r="O66" t="str">
        <f>VLOOKUP(B66,'SALARY DETALES'!$B$2:$D$475,3,0)</f>
        <v>Chinese Helper</v>
      </c>
      <c r="Q66" t="str">
        <f>VLOOKUP(B66,'MASTER DATA SLT'!$C$4:$F$544,4,0)</f>
        <v>2024-10-21</v>
      </c>
      <c r="R66">
        <f>VLOOKUP(B66,'MASTER DATA SLT'!$C$4:$G$544,5,0)</f>
        <v>0</v>
      </c>
      <c r="U66">
        <f>VLOOKUP(B66,'SALARY DETALES'!$B$2:$S$475,18,0)</f>
        <v>25000</v>
      </c>
    </row>
    <row r="67" spans="1:21" x14ac:dyDescent="0.3">
      <c r="A67">
        <v>66</v>
      </c>
      <c r="B67">
        <v>8042</v>
      </c>
      <c r="C67" t="s">
        <v>1910</v>
      </c>
      <c r="D67" t="s">
        <v>1861</v>
      </c>
      <c r="E67" t="str">
        <f>VLOOKUP(B67,'MASTER DATA SLT'!$C$4:$H$544,6,0)</f>
        <v>BUS</v>
      </c>
      <c r="F67" t="str">
        <f>VLOOKUP(B67,'MASTER DATA SLT'!$C$4:$F$544,4,0)</f>
        <v>2023-04-06</v>
      </c>
      <c r="G67">
        <f>VLOOKUP(B67,'MASTER DATA SLT'!$C$4:$P$544,14,0)</f>
        <v>0</v>
      </c>
      <c r="I67">
        <f>VLOOKUP(B67,'MASTER DATA SLT'!$C$4:$Q$544,15,0)</f>
        <v>0</v>
      </c>
      <c r="J67">
        <f>VLOOKUP(B67,'MASTER DATA SLT'!$C$4:$R$544,16,0)</f>
        <v>0</v>
      </c>
      <c r="K67">
        <f>VLOOKUP(B67,'MASTER DATA SLT'!$C$4:$S$544,17,0)</f>
        <v>0</v>
      </c>
      <c r="N67" t="str">
        <f>VLOOKUP(B67,'SALARY DETALES'!$B$2:$C$475,2,0)</f>
        <v>Chinese</v>
      </c>
      <c r="O67" t="str">
        <f>VLOOKUP(B67,'SALARY DETALES'!$B$2:$D$475,3,0)</f>
        <v>Chinese Helper</v>
      </c>
      <c r="Q67" t="str">
        <f>VLOOKUP(B67,'MASTER DATA SLT'!$C$4:$F$544,4,0)</f>
        <v>2023-04-06</v>
      </c>
      <c r="R67">
        <f>VLOOKUP(B67,'MASTER DATA SLT'!$C$4:$G$544,5,0)</f>
        <v>0</v>
      </c>
      <c r="U67">
        <f>VLOOKUP(B67,'SALARY DETALES'!$B$2:$S$475,18,0)</f>
        <v>45000</v>
      </c>
    </row>
    <row r="68" spans="1:21" x14ac:dyDescent="0.3">
      <c r="A68">
        <v>67</v>
      </c>
      <c r="B68">
        <v>21019</v>
      </c>
      <c r="C68" t="s">
        <v>1911</v>
      </c>
      <c r="D68" t="s">
        <v>1869</v>
      </c>
      <c r="E68" t="str">
        <f>VLOOKUP(B68,'MASTER DATA SLT'!$C$4:$H$544,6,0)</f>
        <v>BUS</v>
      </c>
      <c r="F68" t="str">
        <f>VLOOKUP(B68,'MASTER DATA SLT'!$C$4:$F$544,4,0)</f>
        <v>2023-04-07</v>
      </c>
      <c r="G68">
        <f>VLOOKUP(B68,'MASTER DATA SLT'!$C$4:$P$544,14,0)</f>
        <v>0</v>
      </c>
      <c r="I68">
        <f>VLOOKUP(B68,'MASTER DATA SLT'!$C$4:$Q$544,15,0)</f>
        <v>0</v>
      </c>
      <c r="J68">
        <f>VLOOKUP(B68,'MASTER DATA SLT'!$C$4:$R$544,16,0)</f>
        <v>0</v>
      </c>
      <c r="K68">
        <f>VLOOKUP(B68,'MASTER DATA SLT'!$C$4:$S$544,17,0)</f>
        <v>0</v>
      </c>
      <c r="N68" t="str">
        <f>VLOOKUP(B68,'SALARY DETALES'!$B$2:$C$475,2,0)</f>
        <v>Chinese</v>
      </c>
      <c r="O68" t="str">
        <f>VLOOKUP(B68,'SALARY DETALES'!$B$2:$D$475,3,0)</f>
        <v>Chinese Helper</v>
      </c>
      <c r="Q68" t="str">
        <f>VLOOKUP(B68,'MASTER DATA SLT'!$C$4:$F$544,4,0)</f>
        <v>2023-04-07</v>
      </c>
      <c r="R68">
        <f>VLOOKUP(B68,'MASTER DATA SLT'!$C$4:$G$544,5,0)</f>
        <v>0</v>
      </c>
      <c r="U68">
        <f>VLOOKUP(B68,'SALARY DETALES'!$B$2:$S$475,18,0)</f>
        <v>25000</v>
      </c>
    </row>
    <row r="69" spans="1:21" x14ac:dyDescent="0.3">
      <c r="A69">
        <v>68</v>
      </c>
      <c r="B69">
        <v>8057</v>
      </c>
      <c r="C69" t="s">
        <v>250</v>
      </c>
      <c r="D69" t="s">
        <v>1912</v>
      </c>
      <c r="E69" t="str">
        <f>VLOOKUP(B69,'MASTER DATA SLT'!$C$4:$H$544,6,0)</f>
        <v>BUS</v>
      </c>
      <c r="F69" t="str">
        <f>VLOOKUP(B69,'MASTER DATA SLT'!$C$4:$F$544,4,0)</f>
        <v>2023-11-09</v>
      </c>
      <c r="G69">
        <f>VLOOKUP(B69,'MASTER DATA SLT'!$C$4:$P$544,14,0)</f>
        <v>0</v>
      </c>
      <c r="I69">
        <f>VLOOKUP(B69,'MASTER DATA SLT'!$C$4:$Q$544,15,0)</f>
        <v>0</v>
      </c>
      <c r="J69">
        <f>VLOOKUP(B69,'MASTER DATA SLT'!$C$4:$R$544,16,0)</f>
        <v>0</v>
      </c>
      <c r="K69">
        <f>VLOOKUP(B69,'MASTER DATA SLT'!$C$4:$S$544,17,0)</f>
        <v>0</v>
      </c>
      <c r="N69" t="str">
        <f>VLOOKUP(B69,'SALARY DETALES'!$B$2:$C$475,2,0)</f>
        <v>Chinese</v>
      </c>
      <c r="O69" t="str">
        <f>VLOOKUP(B69,'SALARY DETALES'!$B$2:$D$475,3,0)</f>
        <v>Chinese Helper</v>
      </c>
      <c r="Q69" t="str">
        <f>VLOOKUP(B69,'MASTER DATA SLT'!$C$4:$F$544,4,0)</f>
        <v>2023-11-09</v>
      </c>
      <c r="R69">
        <f>VLOOKUP(B69,'MASTER DATA SLT'!$C$4:$G$544,5,0)</f>
        <v>0</v>
      </c>
      <c r="U69">
        <f>VLOOKUP(B69,'SALARY DETALES'!$B$2:$S$475,18,0)</f>
        <v>30000</v>
      </c>
    </row>
    <row r="70" spans="1:21" x14ac:dyDescent="0.3">
      <c r="A70">
        <v>69</v>
      </c>
      <c r="B70">
        <v>80487</v>
      </c>
      <c r="C70" t="s">
        <v>1869</v>
      </c>
      <c r="D70" t="s">
        <v>1913</v>
      </c>
      <c r="E70" t="str">
        <f>VLOOKUP(B70,'MASTER DATA SLT'!$C$4:$H$544,6,0)</f>
        <v>BUS</v>
      </c>
      <c r="F70" t="str">
        <f>VLOOKUP(B70,'MASTER DATA SLT'!$C$4:$F$544,4,0)</f>
        <v>2024-11-14</v>
      </c>
      <c r="G70" t="str">
        <f>VLOOKUP(B70,'MASTER DATA SLT'!$C$4:$P$544,14,0)</f>
        <v>15201-0114065</v>
      </c>
      <c r="I70" t="str">
        <f>VLOOKUP(B70,'MASTER DATA SLT'!$C$4:$Q$544,15,0)</f>
        <v>0346-8070620</v>
      </c>
      <c r="J70">
        <f>VLOOKUP(B70,'MASTER DATA SLT'!$C$4:$R$544,16,0)</f>
        <v>0</v>
      </c>
      <c r="K70">
        <f>VLOOKUP(B70,'MASTER DATA SLT'!$C$4:$S$544,17,0)</f>
        <v>0</v>
      </c>
      <c r="N70" t="str">
        <f>VLOOKUP(B70,'SALARY DETALES'!$B$2:$C$475,2,0)</f>
        <v>Chinese</v>
      </c>
      <c r="O70" t="str">
        <f>VLOOKUP(B70,'SALARY DETALES'!$B$2:$D$475,3,0)</f>
        <v>CHINESE HELPER</v>
      </c>
      <c r="Q70" t="str">
        <f>VLOOKUP(B70,'MASTER DATA SLT'!$C$4:$F$544,4,0)</f>
        <v>2024-11-14</v>
      </c>
      <c r="R70">
        <f>VLOOKUP(B70,'MASTER DATA SLT'!$C$4:$G$544,5,0)</f>
        <v>0</v>
      </c>
      <c r="U70">
        <f>VLOOKUP(B70,'SALARY DETALES'!$B$2:$S$475,18,0)</f>
        <v>25000</v>
      </c>
    </row>
    <row r="71" spans="1:21" x14ac:dyDescent="0.3">
      <c r="A71">
        <v>70</v>
      </c>
      <c r="B71">
        <v>80553</v>
      </c>
      <c r="C71" t="s">
        <v>1914</v>
      </c>
      <c r="D71" t="s">
        <v>1915</v>
      </c>
      <c r="E71" t="str">
        <f>VLOOKUP(B71,'MASTER DATA SLT'!$C$4:$H$544,6,0)</f>
        <v>BUS</v>
      </c>
      <c r="F71" t="str">
        <f>VLOOKUP(B71,'MASTER DATA SLT'!$C$4:$F$544,4,0)</f>
        <v>2024-12-20</v>
      </c>
      <c r="G71" t="str">
        <f>VLOOKUP(B71,'MASTER DATA SLT'!$C$4:$P$544,14,0)</f>
        <v>42201-3789365</v>
      </c>
      <c r="I71" t="str">
        <f>VLOOKUP(B71,'MASTER DATA SLT'!$C$4:$Q$544,15,0)</f>
        <v>0319-2335478</v>
      </c>
      <c r="J71">
        <f>VLOOKUP(B71,'MASTER DATA SLT'!$C$4:$R$544,16,0)</f>
        <v>0</v>
      </c>
      <c r="K71">
        <f>VLOOKUP(B71,'MASTER DATA SLT'!$C$4:$S$544,17,0)</f>
        <v>0</v>
      </c>
      <c r="N71" t="str">
        <f>VLOOKUP(B71,'SALARY DETALES'!$B$2:$C$475,2,0)</f>
        <v>Chinese</v>
      </c>
      <c r="O71" t="str">
        <f>VLOOKUP(B71,'SALARY DETALES'!$B$2:$D$475,3,0)</f>
        <v>HELPER</v>
      </c>
      <c r="Q71" t="str">
        <f>VLOOKUP(B71,'MASTER DATA SLT'!$C$4:$F$544,4,0)</f>
        <v>2024-12-20</v>
      </c>
      <c r="R71">
        <f>VLOOKUP(B71,'MASTER DATA SLT'!$C$4:$G$544,5,0)</f>
        <v>0</v>
      </c>
      <c r="U71">
        <f>VLOOKUP(B71,'SALARY DETALES'!$B$2:$S$475,18,0)</f>
        <v>25000</v>
      </c>
    </row>
    <row r="72" spans="1:21" x14ac:dyDescent="0.3">
      <c r="A72">
        <v>71</v>
      </c>
      <c r="B72">
        <v>80639</v>
      </c>
      <c r="C72" t="s">
        <v>1916</v>
      </c>
      <c r="D72" t="s">
        <v>2146</v>
      </c>
      <c r="E72" t="str">
        <f>VLOOKUP(B72,'MASTER DATA SLT'!$C$4:$H$544,6,0)</f>
        <v>BUS</v>
      </c>
      <c r="F72" t="str">
        <f>VLOOKUP(B72,'MASTER DATA SLT'!$C$4:$F$544,4,0)</f>
        <v>2025-02-19</v>
      </c>
      <c r="G72">
        <f>VLOOKUP(B72,'MASTER DATA SLT'!$C$4:$P$544,14,0)</f>
        <v>0</v>
      </c>
      <c r="I72" t="str">
        <f>VLOOKUP(B72,'MASTER DATA SLT'!$C$4:$Q$544,15,0)</f>
        <v>0331-7291489</v>
      </c>
      <c r="J72">
        <f>VLOOKUP(B72,'MASTER DATA SLT'!$C$4:$R$544,16,0)</f>
        <v>0</v>
      </c>
      <c r="K72">
        <f>VLOOKUP(B72,'MASTER DATA SLT'!$C$4:$S$544,17,0)</f>
        <v>0</v>
      </c>
      <c r="N72" t="str">
        <f>VLOOKUP(B72,'SALARY DETALES'!$B$2:$C$475,2,0)</f>
        <v>Chinese</v>
      </c>
      <c r="O72" t="str">
        <f>VLOOKUP(B72,'SALARY DETALES'!$B$2:$D$475,3,0)</f>
        <v>HELPER</v>
      </c>
      <c r="Q72" t="str">
        <f>VLOOKUP(B72,'MASTER DATA SLT'!$C$4:$F$544,4,0)</f>
        <v>2025-02-19</v>
      </c>
      <c r="R72">
        <f>VLOOKUP(B72,'MASTER DATA SLT'!$C$4:$G$544,5,0)</f>
        <v>0</v>
      </c>
      <c r="U72">
        <f>VLOOKUP(B72,'SALARY DETALES'!$B$2:$S$475,18,0)</f>
        <v>30000</v>
      </c>
    </row>
    <row r="73" spans="1:21" x14ac:dyDescent="0.3">
      <c r="A73">
        <v>72</v>
      </c>
      <c r="B73">
        <v>80721</v>
      </c>
      <c r="C73" t="s">
        <v>1884</v>
      </c>
      <c r="D73" t="s">
        <v>2147</v>
      </c>
      <c r="E73" t="str">
        <f>VLOOKUP(B73,'MASTER DATA SLT'!$C$4:$H$544,6,0)</f>
        <v>BUS</v>
      </c>
      <c r="F73" t="str">
        <f>VLOOKUP(B73,'MASTER DATA SLT'!$C$4:$F$544,4,0)</f>
        <v>2025-03-13</v>
      </c>
      <c r="G73" t="str">
        <f>VLOOKUP(B73,'MASTER DATA SLT'!$C$4:$P$544,14,0)</f>
        <v>71601-0619232</v>
      </c>
      <c r="I73" t="str">
        <f>VLOOKUP(B73,'MASTER DATA SLT'!$C$4:$Q$544,15,0)</f>
        <v>03468931200</v>
      </c>
      <c r="J73">
        <f>VLOOKUP(B73,'MASTER DATA SLT'!$C$4:$R$544,16,0)</f>
        <v>0</v>
      </c>
      <c r="K73">
        <f>VLOOKUP(B73,'MASTER DATA SLT'!$C$4:$S$544,17,0)</f>
        <v>0</v>
      </c>
      <c r="N73" t="str">
        <f>VLOOKUP(B73,'SALARY DETALES'!$B$2:$C$475,2,0)</f>
        <v>Chinese</v>
      </c>
      <c r="O73" t="str">
        <f>VLOOKUP(B73,'SALARY DETALES'!$B$2:$D$475,3,0)</f>
        <v>CHINESE HELPER</v>
      </c>
      <c r="Q73" t="str">
        <f>VLOOKUP(B73,'MASTER DATA SLT'!$C$4:$F$544,4,0)</f>
        <v>2025-03-13</v>
      </c>
      <c r="R73">
        <f>VLOOKUP(B73,'MASTER DATA SLT'!$C$4:$G$544,5,0)</f>
        <v>0</v>
      </c>
      <c r="U73">
        <f>VLOOKUP(B73,'SALARY DETALES'!$B$2:$S$475,18,0)</f>
        <v>25000</v>
      </c>
    </row>
    <row r="74" spans="1:21" x14ac:dyDescent="0.3">
      <c r="A74">
        <v>73</v>
      </c>
      <c r="B74">
        <v>80762</v>
      </c>
      <c r="C74" t="s">
        <v>1845</v>
      </c>
      <c r="D74" t="s">
        <v>1918</v>
      </c>
      <c r="E74" t="str">
        <f>VLOOKUP(B74,'MASTER DATA SLT'!$C$4:$H$544,6,0)</f>
        <v>BUS</v>
      </c>
      <c r="F74" t="str">
        <f>VLOOKUP(B74,'MASTER DATA SLT'!$C$4:$F$544,4,0)</f>
        <v>2025-04-13</v>
      </c>
      <c r="G74" t="str">
        <f>VLOOKUP(B74,'MASTER DATA SLT'!$C$4:$P$544,14,0)</f>
        <v>71601-0606100</v>
      </c>
      <c r="I74" t="str">
        <f>VLOOKUP(B74,'MASTER DATA SLT'!$C$4:$Q$544,15,0)</f>
        <v>0355-5047119</v>
      </c>
      <c r="J74">
        <f>VLOOKUP(B74,'MASTER DATA SLT'!$C$4:$R$544,16,0)</f>
        <v>0</v>
      </c>
      <c r="K74">
        <f>VLOOKUP(B74,'MASTER DATA SLT'!$C$4:$S$544,17,0)</f>
        <v>0</v>
      </c>
      <c r="N74" t="str">
        <f>VLOOKUP(B74,'SALARY DETALES'!$B$2:$C$475,2,0)</f>
        <v>Chinese</v>
      </c>
      <c r="O74" t="str">
        <f>VLOOKUP(B74,'SALARY DETALES'!$B$2:$D$475,3,0)</f>
        <v>HELPER</v>
      </c>
      <c r="Q74" t="str">
        <f>VLOOKUP(B74,'MASTER DATA SLT'!$C$4:$F$544,4,0)</f>
        <v>2025-04-13</v>
      </c>
      <c r="R74">
        <f>VLOOKUP(B74,'MASTER DATA SLT'!$C$4:$G$544,5,0)</f>
        <v>0</v>
      </c>
      <c r="U74">
        <f>VLOOKUP(B74,'SALARY DETALES'!$B$2:$S$475,18,0)</f>
        <v>25000</v>
      </c>
    </row>
    <row r="75" spans="1:21" x14ac:dyDescent="0.3">
      <c r="A75">
        <v>74</v>
      </c>
      <c r="B75">
        <v>80794</v>
      </c>
      <c r="C75" t="s">
        <v>177</v>
      </c>
      <c r="D75" t="s">
        <v>2137</v>
      </c>
      <c r="E75" t="str">
        <f>VLOOKUP(B75,'MASTER DATA SLT'!$C$4:$H$544,6,0)</f>
        <v>BUS</v>
      </c>
      <c r="F75" t="str">
        <f>VLOOKUP(B75,'MASTER DATA SLT'!$C$4:$F$544,4,0)</f>
        <v>2025-04-18</v>
      </c>
      <c r="G75">
        <f>VLOOKUP(B75,'MASTER DATA SLT'!$C$4:$P$544,14,0)</f>
        <v>0</v>
      </c>
      <c r="I75">
        <f>VLOOKUP(B75,'MASTER DATA SLT'!$C$4:$Q$544,15,0)</f>
        <v>0</v>
      </c>
      <c r="J75">
        <f>VLOOKUP(B75,'MASTER DATA SLT'!$C$4:$R$544,16,0)</f>
        <v>0</v>
      </c>
      <c r="K75">
        <f>VLOOKUP(B75,'MASTER DATA SLT'!$C$4:$S$544,17,0)</f>
        <v>0</v>
      </c>
      <c r="N75" t="str">
        <f>VLOOKUP(B75,'SALARY DETALES'!$B$2:$C$475,2,0)</f>
        <v>Chinese</v>
      </c>
      <c r="O75" t="str">
        <f>VLOOKUP(B75,'SALARY DETALES'!$B$2:$D$475,3,0)</f>
        <v>INTERNSHIP</v>
      </c>
      <c r="Q75" t="str">
        <f>VLOOKUP(B75,'MASTER DATA SLT'!$C$4:$F$544,4,0)</f>
        <v>2025-04-18</v>
      </c>
      <c r="R75">
        <f>VLOOKUP(B75,'MASTER DATA SLT'!$C$4:$G$544,5,0)</f>
        <v>0</v>
      </c>
      <c r="U75">
        <f>VLOOKUP(B75,'SALARY DETALES'!$B$2:$S$475,18,0)</f>
        <v>15000</v>
      </c>
    </row>
    <row r="76" spans="1:21" x14ac:dyDescent="0.3">
      <c r="A76">
        <v>75</v>
      </c>
      <c r="B76">
        <v>9022</v>
      </c>
      <c r="C76" t="s">
        <v>180</v>
      </c>
      <c r="D76" t="s">
        <v>2137</v>
      </c>
      <c r="E76" t="str">
        <f>VLOOKUP(B76,'MASTER DATA SLT'!$C$4:$H$544,6,0)</f>
        <v>BUS</v>
      </c>
      <c r="F76" t="str">
        <f>VLOOKUP(B76,'MASTER DATA SLT'!$C$4:$F$544,4,0)</f>
        <v>2022-01-19</v>
      </c>
      <c r="G76">
        <f>VLOOKUP(B76,'MASTER DATA SLT'!$C$4:$P$544,14,0)</f>
        <v>0</v>
      </c>
      <c r="I76">
        <f>VLOOKUP(B76,'MASTER DATA SLT'!$C$4:$Q$544,15,0)</f>
        <v>0</v>
      </c>
      <c r="J76">
        <f>VLOOKUP(B76,'MASTER DATA SLT'!$C$4:$R$544,16,0)</f>
        <v>0</v>
      </c>
      <c r="K76">
        <f>VLOOKUP(B76,'MASTER DATA SLT'!$C$4:$S$544,17,0)</f>
        <v>0</v>
      </c>
      <c r="N76" t="str">
        <f>VLOOKUP(B76,'SALARY DETALES'!$B$2:$C$475,2,0)</f>
        <v>CONTINENTAL</v>
      </c>
      <c r="O76" t="str">
        <f>VLOOKUP(B76,'SALARY DETALES'!$B$2:$D$475,3,0)</f>
        <v>CONTINENTAL CHEF</v>
      </c>
      <c r="Q76" t="str">
        <f>VLOOKUP(B76,'MASTER DATA SLT'!$C$4:$F$544,4,0)</f>
        <v>2022-01-19</v>
      </c>
      <c r="R76">
        <f>VLOOKUP(B76,'MASTER DATA SLT'!$C$4:$G$544,5,0)</f>
        <v>0</v>
      </c>
      <c r="U76">
        <f>VLOOKUP(B76,'SALARY DETALES'!$B$2:$S$475,18,0)</f>
        <v>90000</v>
      </c>
    </row>
    <row r="77" spans="1:21" x14ac:dyDescent="0.3">
      <c r="A77">
        <v>76</v>
      </c>
      <c r="B77">
        <v>9024</v>
      </c>
      <c r="C77" t="s">
        <v>182</v>
      </c>
      <c r="D77" t="s">
        <v>2137</v>
      </c>
      <c r="E77" t="str">
        <f>VLOOKUP(B77,'MASTER DATA SLT'!$C$4:$H$544,6,0)</f>
        <v>BUS</v>
      </c>
      <c r="F77" t="str">
        <f>VLOOKUP(B77,'MASTER DATA SLT'!$C$4:$F$544,4,0)</f>
        <v>2022-02-26</v>
      </c>
      <c r="G77">
        <f>VLOOKUP(B77,'MASTER DATA SLT'!$C$4:$P$544,14,0)</f>
        <v>0</v>
      </c>
      <c r="I77">
        <f>VLOOKUP(B77,'MASTER DATA SLT'!$C$4:$Q$544,15,0)</f>
        <v>0</v>
      </c>
      <c r="J77">
        <f>VLOOKUP(B77,'MASTER DATA SLT'!$C$4:$R$544,16,0)</f>
        <v>0</v>
      </c>
      <c r="K77">
        <f>VLOOKUP(B77,'MASTER DATA SLT'!$C$4:$S$544,17,0)</f>
        <v>0</v>
      </c>
      <c r="N77" t="str">
        <f>VLOOKUP(B77,'SALARY DETALES'!$B$2:$C$475,2,0)</f>
        <v>CONTINENTAL</v>
      </c>
      <c r="O77" t="str">
        <f>VLOOKUP(B77,'SALARY DETALES'!$B$2:$D$475,3,0)</f>
        <v>Continental Senior</v>
      </c>
      <c r="Q77" t="str">
        <f>VLOOKUP(B77,'MASTER DATA SLT'!$C$4:$F$544,4,0)</f>
        <v>2022-02-26</v>
      </c>
      <c r="R77">
        <f>VLOOKUP(B77,'MASTER DATA SLT'!$C$4:$G$544,5,0)</f>
        <v>0</v>
      </c>
      <c r="U77">
        <f>VLOOKUP(B77,'SALARY DETALES'!$B$2:$S$475,18,0)</f>
        <v>50000</v>
      </c>
    </row>
    <row r="78" spans="1:21" x14ac:dyDescent="0.3">
      <c r="A78">
        <v>77</v>
      </c>
      <c r="B78">
        <v>9067</v>
      </c>
      <c r="C78" t="s">
        <v>1848</v>
      </c>
      <c r="D78" t="s">
        <v>1919</v>
      </c>
      <c r="E78" t="str">
        <f>VLOOKUP(B78,'MASTER DATA SLT'!$C$4:$H$544,6,0)</f>
        <v>BUS</v>
      </c>
      <c r="F78" t="str">
        <f>VLOOKUP(B78,'MASTER DATA SLT'!$C$4:$F$544,4,0)</f>
        <v>2023-05-01</v>
      </c>
      <c r="G78">
        <f>VLOOKUP(B78,'MASTER DATA SLT'!$C$4:$P$544,14,0)</f>
        <v>0</v>
      </c>
      <c r="I78">
        <f>VLOOKUP(B78,'MASTER DATA SLT'!$C$4:$Q$544,15,0)</f>
        <v>0</v>
      </c>
      <c r="J78">
        <f>VLOOKUP(B78,'MASTER DATA SLT'!$C$4:$R$544,16,0)</f>
        <v>0</v>
      </c>
      <c r="K78">
        <f>VLOOKUP(B78,'MASTER DATA SLT'!$C$4:$S$544,17,0)</f>
        <v>0</v>
      </c>
      <c r="N78" t="str">
        <f>VLOOKUP(B78,'SALARY DETALES'!$B$2:$C$475,2,0)</f>
        <v>CONTINENTAL</v>
      </c>
      <c r="O78" t="str">
        <f>VLOOKUP(B78,'SALARY DETALES'!$B$2:$D$475,3,0)</f>
        <v>Continental Helper</v>
      </c>
      <c r="Q78" t="str">
        <f>VLOOKUP(B78,'MASTER DATA SLT'!$C$4:$F$544,4,0)</f>
        <v>2023-05-01</v>
      </c>
      <c r="R78">
        <f>VLOOKUP(B78,'MASTER DATA SLT'!$C$4:$G$544,5,0)</f>
        <v>0</v>
      </c>
      <c r="U78">
        <f>VLOOKUP(B78,'SALARY DETALES'!$B$2:$S$475,18,0)</f>
        <v>27500</v>
      </c>
    </row>
    <row r="79" spans="1:21" x14ac:dyDescent="0.3">
      <c r="A79">
        <v>78</v>
      </c>
      <c r="B79">
        <v>9070</v>
      </c>
      <c r="C79" t="s">
        <v>1920</v>
      </c>
      <c r="D79" t="s">
        <v>1863</v>
      </c>
      <c r="E79" t="str">
        <f>VLOOKUP(B79,'MASTER DATA SLT'!$C$4:$H$544,6,0)</f>
        <v>BUS</v>
      </c>
      <c r="F79" t="str">
        <f>VLOOKUP(B79,'MASTER DATA SLT'!$C$4:$F$544,4,0)</f>
        <v>2023-06-20</v>
      </c>
      <c r="G79">
        <f>VLOOKUP(B79,'MASTER DATA SLT'!$C$4:$P$544,14,0)</f>
        <v>0</v>
      </c>
      <c r="I79">
        <f>VLOOKUP(B79,'MASTER DATA SLT'!$C$4:$Q$544,15,0)</f>
        <v>0</v>
      </c>
      <c r="J79">
        <f>VLOOKUP(B79,'MASTER DATA SLT'!$C$4:$R$544,16,0)</f>
        <v>0</v>
      </c>
      <c r="K79">
        <f>VLOOKUP(B79,'MASTER DATA SLT'!$C$4:$S$544,17,0)</f>
        <v>0</v>
      </c>
      <c r="N79" t="str">
        <f>VLOOKUP(B79,'SALARY DETALES'!$B$2:$C$475,2,0)</f>
        <v>CONTINENTAL</v>
      </c>
      <c r="O79" t="str">
        <f>VLOOKUP(B79,'SALARY DETALES'!$B$2:$D$475,3,0)</f>
        <v>Continental Helper</v>
      </c>
      <c r="Q79" t="str">
        <f>VLOOKUP(B79,'MASTER DATA SLT'!$C$4:$F$544,4,0)</f>
        <v>2023-06-20</v>
      </c>
      <c r="R79">
        <f>VLOOKUP(B79,'MASTER DATA SLT'!$C$4:$G$544,5,0)</f>
        <v>0</v>
      </c>
      <c r="U79">
        <f>VLOOKUP(B79,'SALARY DETALES'!$B$2:$S$475,18,0)</f>
        <v>35000</v>
      </c>
    </row>
    <row r="80" spans="1:21" x14ac:dyDescent="0.3">
      <c r="A80">
        <v>79</v>
      </c>
      <c r="B80">
        <v>9077</v>
      </c>
      <c r="C80" t="s">
        <v>1921</v>
      </c>
      <c r="D80" t="s">
        <v>1869</v>
      </c>
      <c r="E80" t="str">
        <f>VLOOKUP(B80,'MASTER DATA SLT'!$C$4:$H$544,6,0)</f>
        <v>BUS</v>
      </c>
      <c r="F80" t="str">
        <f>VLOOKUP(B80,'MASTER DATA SLT'!$C$4:$F$544,4,0)</f>
        <v>2023-12-14</v>
      </c>
      <c r="G80">
        <f>VLOOKUP(B80,'MASTER DATA SLT'!$C$4:$P$544,14,0)</f>
        <v>0</v>
      </c>
      <c r="I80">
        <f>VLOOKUP(B80,'MASTER DATA SLT'!$C$4:$Q$544,15,0)</f>
        <v>0</v>
      </c>
      <c r="J80">
        <f>VLOOKUP(B80,'MASTER DATA SLT'!$C$4:$R$544,16,0)</f>
        <v>0</v>
      </c>
      <c r="K80">
        <f>VLOOKUP(B80,'MASTER DATA SLT'!$C$4:$S$544,17,0)</f>
        <v>0</v>
      </c>
      <c r="N80" t="str">
        <f>VLOOKUP(B80,'SALARY DETALES'!$B$2:$C$475,2,0)</f>
        <v>CONTINENTAL</v>
      </c>
      <c r="O80" t="str">
        <f>VLOOKUP(B80,'SALARY DETALES'!$B$2:$D$475,3,0)</f>
        <v>Continental Helper</v>
      </c>
      <c r="Q80" t="str">
        <f>VLOOKUP(B80,'MASTER DATA SLT'!$C$4:$F$544,4,0)</f>
        <v>2023-12-14</v>
      </c>
      <c r="R80">
        <f>VLOOKUP(B80,'MASTER DATA SLT'!$C$4:$G$544,5,0)</f>
        <v>0</v>
      </c>
      <c r="U80">
        <f>VLOOKUP(B80,'SALARY DETALES'!$B$2:$S$475,18,0)</f>
        <v>30000</v>
      </c>
    </row>
    <row r="81" spans="1:21" x14ac:dyDescent="0.3">
      <c r="A81">
        <v>80</v>
      </c>
      <c r="B81">
        <v>9084</v>
      </c>
      <c r="C81" t="s">
        <v>188</v>
      </c>
      <c r="D81" t="s">
        <v>2137</v>
      </c>
      <c r="E81" t="str">
        <f>VLOOKUP(B81,'MASTER DATA SLT'!$C$4:$H$544,6,0)</f>
        <v>BUS</v>
      </c>
      <c r="F81" t="str">
        <f>VLOOKUP(B81,'MASTER DATA SLT'!$C$4:$F$544,4,0)</f>
        <v>2024-02-21</v>
      </c>
      <c r="G81">
        <f>VLOOKUP(B81,'MASTER DATA SLT'!$C$4:$P$544,14,0)</f>
        <v>0</v>
      </c>
      <c r="I81">
        <f>VLOOKUP(B81,'MASTER DATA SLT'!$C$4:$Q$544,15,0)</f>
        <v>0</v>
      </c>
      <c r="J81">
        <f>VLOOKUP(B81,'MASTER DATA SLT'!$C$4:$R$544,16,0)</f>
        <v>0</v>
      </c>
      <c r="K81">
        <f>VLOOKUP(B81,'MASTER DATA SLT'!$C$4:$S$544,17,0)</f>
        <v>0</v>
      </c>
      <c r="N81" t="str">
        <f>VLOOKUP(B81,'SALARY DETALES'!$B$2:$C$475,2,0)</f>
        <v>CONTINENTAL</v>
      </c>
      <c r="O81" t="str">
        <f>VLOOKUP(B81,'SALARY DETALES'!$B$2:$D$475,3,0)</f>
        <v>Continental</v>
      </c>
      <c r="Q81" t="str">
        <f>VLOOKUP(B81,'MASTER DATA SLT'!$C$4:$F$544,4,0)</f>
        <v>2024-02-21</v>
      </c>
      <c r="R81">
        <f>VLOOKUP(B81,'MASTER DATA SLT'!$C$4:$G$544,5,0)</f>
        <v>0</v>
      </c>
      <c r="U81">
        <f>VLOOKUP(B81,'SALARY DETALES'!$B$2:$S$475,18,0)</f>
        <v>25000</v>
      </c>
    </row>
    <row r="82" spans="1:21" x14ac:dyDescent="0.3">
      <c r="A82">
        <v>81</v>
      </c>
      <c r="B82">
        <v>9085</v>
      </c>
      <c r="C82" t="s">
        <v>1777</v>
      </c>
      <c r="D82" t="s">
        <v>1887</v>
      </c>
      <c r="E82" t="str">
        <f>VLOOKUP(B82,'MASTER DATA SLT'!$C$4:$H$544,6,0)</f>
        <v>BUS</v>
      </c>
      <c r="F82" t="str">
        <f>VLOOKUP(B82,'MASTER DATA SLT'!$C$4:$F$544,4,0)</f>
        <v>2024-03-16</v>
      </c>
      <c r="G82">
        <f>VLOOKUP(B82,'MASTER DATA SLT'!$C$4:$P$544,14,0)</f>
        <v>0</v>
      </c>
      <c r="I82" t="str">
        <f>VLOOKUP(B82,'MASTER DATA SLT'!$C$4:$Q$544,15,0)</f>
        <v>03148007648</v>
      </c>
      <c r="J82">
        <f>VLOOKUP(B82,'MASTER DATA SLT'!$C$4:$R$544,16,0)</f>
        <v>0</v>
      </c>
      <c r="K82">
        <f>VLOOKUP(B82,'MASTER DATA SLT'!$C$4:$S$544,17,0)</f>
        <v>0</v>
      </c>
      <c r="N82" t="str">
        <f>VLOOKUP(B82,'SALARY DETALES'!$B$2:$C$475,2,0)</f>
        <v>CONTINENTAL</v>
      </c>
      <c r="O82" t="str">
        <f>VLOOKUP(B82,'SALARY DETALES'!$B$2:$D$475,3,0)</f>
        <v>Continental</v>
      </c>
      <c r="Q82" t="str">
        <f>VLOOKUP(B82,'MASTER DATA SLT'!$C$4:$F$544,4,0)</f>
        <v>2024-03-16</v>
      </c>
      <c r="R82">
        <f>VLOOKUP(B82,'MASTER DATA SLT'!$C$4:$G$544,5,0)</f>
        <v>0</v>
      </c>
      <c r="U82">
        <f>VLOOKUP(B82,'SALARY DETALES'!$B$2:$S$475,18,0)</f>
        <v>30000</v>
      </c>
    </row>
    <row r="83" spans="1:21" x14ac:dyDescent="0.3">
      <c r="A83">
        <v>82</v>
      </c>
      <c r="B83">
        <v>9089</v>
      </c>
      <c r="C83" t="s">
        <v>1858</v>
      </c>
      <c r="D83" t="s">
        <v>1922</v>
      </c>
      <c r="E83" t="str">
        <f>VLOOKUP(B83,'MASTER DATA SLT'!$C$4:$H$544,6,0)</f>
        <v>BUS</v>
      </c>
      <c r="F83" t="str">
        <f>VLOOKUP(B83,'MASTER DATA SLT'!$C$4:$F$544,4,0)</f>
        <v>2024-06-04</v>
      </c>
      <c r="G83" t="str">
        <f>VLOOKUP(B83,'MASTER DATA SLT'!$C$4:$P$544,14,0)</f>
        <v>42201-5929179</v>
      </c>
      <c r="I83" t="str">
        <f>VLOOKUP(B83,'MASTER DATA SLT'!$C$4:$Q$544,15,0)</f>
        <v>0346-7315773</v>
      </c>
      <c r="J83">
        <f>VLOOKUP(B83,'MASTER DATA SLT'!$C$4:$R$544,16,0)</f>
        <v>0</v>
      </c>
      <c r="K83">
        <f>VLOOKUP(B83,'MASTER DATA SLT'!$C$4:$S$544,17,0)</f>
        <v>0</v>
      </c>
      <c r="N83" t="str">
        <f>VLOOKUP(B83,'SALARY DETALES'!$B$2:$C$475,2,0)</f>
        <v>CONTINENTAL</v>
      </c>
      <c r="O83" t="str">
        <f>VLOOKUP(B83,'SALARY DETALES'!$B$2:$D$475,3,0)</f>
        <v>Helper</v>
      </c>
      <c r="Q83" t="str">
        <f>VLOOKUP(B83,'MASTER DATA SLT'!$C$4:$F$544,4,0)</f>
        <v>2024-06-04</v>
      </c>
      <c r="R83">
        <f>VLOOKUP(B83,'MASTER DATA SLT'!$C$4:$G$544,5,0)</f>
        <v>0</v>
      </c>
      <c r="U83">
        <f>VLOOKUP(B83,'SALARY DETALES'!$B$2:$S$475,18,0)</f>
        <v>22000</v>
      </c>
    </row>
    <row r="84" spans="1:21" x14ac:dyDescent="0.3">
      <c r="A84">
        <v>83</v>
      </c>
      <c r="B84">
        <v>9091</v>
      </c>
      <c r="C84" t="s">
        <v>1923</v>
      </c>
      <c r="D84" t="s">
        <v>2135</v>
      </c>
      <c r="E84" t="str">
        <f>VLOOKUP(B84,'MASTER DATA SLT'!$C$4:$H$544,6,0)</f>
        <v>BUS</v>
      </c>
      <c r="F84" t="str">
        <f>VLOOKUP(B84,'MASTER DATA SLT'!$C$4:$F$544,4,0)</f>
        <v>2024-07-11</v>
      </c>
      <c r="G84" t="str">
        <f>VLOOKUP(B84,'MASTER DATA SLT'!$C$4:$P$544,14,0)</f>
        <v>42401-3660939</v>
      </c>
      <c r="I84" t="str">
        <f>VLOOKUP(B84,'MASTER DATA SLT'!$C$4:$Q$544,15,0)</f>
        <v>0310-5015195</v>
      </c>
      <c r="J84">
        <f>VLOOKUP(B84,'MASTER DATA SLT'!$C$4:$R$544,16,0)</f>
        <v>0</v>
      </c>
      <c r="K84">
        <f>VLOOKUP(B84,'MASTER DATA SLT'!$C$4:$S$544,17,0)</f>
        <v>0</v>
      </c>
      <c r="N84" t="str">
        <f>VLOOKUP(B84,'SALARY DETALES'!$B$2:$C$475,2,0)</f>
        <v>CONTINENTAL</v>
      </c>
      <c r="O84" t="str">
        <f>VLOOKUP(B84,'SALARY DETALES'!$B$2:$D$475,3,0)</f>
        <v>Helper</v>
      </c>
      <c r="Q84" t="str">
        <f>VLOOKUP(B84,'MASTER DATA SLT'!$C$4:$F$544,4,0)</f>
        <v>2024-07-11</v>
      </c>
      <c r="R84">
        <f>VLOOKUP(B84,'MASTER DATA SLT'!$C$4:$G$544,5,0)</f>
        <v>0</v>
      </c>
      <c r="U84">
        <f>VLOOKUP(B84,'SALARY DETALES'!$B$2:$S$475,18,0)</f>
        <v>30000</v>
      </c>
    </row>
    <row r="85" spans="1:21" x14ac:dyDescent="0.3">
      <c r="A85">
        <v>84</v>
      </c>
      <c r="B85">
        <v>80364</v>
      </c>
      <c r="C85" t="s">
        <v>1924</v>
      </c>
      <c r="D85" t="s">
        <v>1925</v>
      </c>
      <c r="E85" t="str">
        <f>VLOOKUP(B85,'MASTER DATA SLT'!$C$4:$H$544,6,0)</f>
        <v>BUS</v>
      </c>
      <c r="F85" t="str">
        <f>VLOOKUP(B85,'MASTER DATA SLT'!$C$4:$F$544,4,0)</f>
        <v>2024-08-13</v>
      </c>
      <c r="G85" t="str">
        <f>VLOOKUP(B85,'MASTER DATA SLT'!$C$4:$P$544,14,0)</f>
        <v>42201-4197307</v>
      </c>
      <c r="I85" t="str">
        <f>VLOOKUP(B85,'MASTER DATA SLT'!$C$4:$Q$544,15,0)</f>
        <v>0316-8077182</v>
      </c>
      <c r="J85">
        <f>VLOOKUP(B85,'MASTER DATA SLT'!$C$4:$R$544,16,0)</f>
        <v>0</v>
      </c>
      <c r="K85">
        <f>VLOOKUP(B85,'MASTER DATA SLT'!$C$4:$S$544,17,0)</f>
        <v>0</v>
      </c>
      <c r="N85" t="str">
        <f>VLOOKUP(B85,'SALARY DETALES'!$B$2:$C$475,2,0)</f>
        <v>CONTINENTAL</v>
      </c>
      <c r="O85" t="str">
        <f>VLOOKUP(B85,'SALARY DETALES'!$B$2:$D$475,3,0)</f>
        <v>Helper</v>
      </c>
      <c r="Q85" t="str">
        <f>VLOOKUP(B85,'MASTER DATA SLT'!$C$4:$F$544,4,0)</f>
        <v>2024-08-13</v>
      </c>
      <c r="R85">
        <f>VLOOKUP(B85,'MASTER DATA SLT'!$C$4:$G$544,5,0)</f>
        <v>0</v>
      </c>
      <c r="U85">
        <f>VLOOKUP(B85,'SALARY DETALES'!$B$2:$S$475,18,0)</f>
        <v>22000</v>
      </c>
    </row>
    <row r="86" spans="1:21" x14ac:dyDescent="0.3">
      <c r="A86">
        <v>85</v>
      </c>
      <c r="B86">
        <v>80442</v>
      </c>
      <c r="C86" t="s">
        <v>1926</v>
      </c>
      <c r="D86" t="s">
        <v>1927</v>
      </c>
      <c r="E86" t="str">
        <f>VLOOKUP(B86,'MASTER DATA SLT'!$C$4:$H$544,6,0)</f>
        <v>NO</v>
      </c>
      <c r="F86" t="str">
        <f>VLOOKUP(B86,'MASTER DATA SLT'!$C$4:$F$544,4,0)</f>
        <v>2025-02-15</v>
      </c>
      <c r="G86" t="str">
        <f>VLOOKUP(B86,'MASTER DATA SLT'!$C$4:$P$544,14,0)</f>
        <v>42201-2639493</v>
      </c>
      <c r="I86" t="str">
        <f>VLOOKUP(B86,'MASTER DATA SLT'!$C$4:$Q$544,15,0)</f>
        <v>0315-8243661</v>
      </c>
      <c r="J86">
        <f>VLOOKUP(B86,'MASTER DATA SLT'!$C$4:$R$544,16,0)</f>
        <v>0</v>
      </c>
      <c r="K86">
        <f>VLOOKUP(B86,'MASTER DATA SLT'!$C$4:$S$544,17,0)</f>
        <v>0</v>
      </c>
      <c r="N86" t="str">
        <f>VLOOKUP(B86,'SALARY DETALES'!$B$2:$C$475,2,0)</f>
        <v>CONTINENTAL</v>
      </c>
      <c r="O86" t="str">
        <f>VLOOKUP(B86,'SALARY DETALES'!$B$2:$D$475,3,0)</f>
        <v>helper</v>
      </c>
      <c r="Q86" t="str">
        <f>VLOOKUP(B86,'MASTER DATA SLT'!$C$4:$F$544,4,0)</f>
        <v>2025-02-15</v>
      </c>
      <c r="R86">
        <f>VLOOKUP(B86,'MASTER DATA SLT'!$C$4:$G$544,5,0)</f>
        <v>90</v>
      </c>
      <c r="U86">
        <f>VLOOKUP(B86,'SALARY DETALES'!$B$2:$S$475,18,0)</f>
        <v>30000</v>
      </c>
    </row>
    <row r="87" spans="1:21" x14ac:dyDescent="0.3">
      <c r="A87">
        <v>86</v>
      </c>
      <c r="B87">
        <v>80525</v>
      </c>
      <c r="C87" t="s">
        <v>1928</v>
      </c>
      <c r="D87" t="s">
        <v>1929</v>
      </c>
      <c r="E87" t="str">
        <f>VLOOKUP(B87,'MASTER DATA SLT'!$C$4:$H$544,6,0)</f>
        <v>BUS</v>
      </c>
      <c r="F87" t="str">
        <f>VLOOKUP(B87,'MASTER DATA SLT'!$C$4:$F$544,4,0)</f>
        <v>2024-12-01</v>
      </c>
      <c r="G87" t="str">
        <f>VLOOKUP(B87,'MASTER DATA SLT'!$C$4:$P$544,14,0)</f>
        <v>15201-3779046</v>
      </c>
      <c r="I87" t="str">
        <f>VLOOKUP(B87,'MASTER DATA SLT'!$C$4:$Q$544,15,0)</f>
        <v>0345-0609905</v>
      </c>
      <c r="J87">
        <f>VLOOKUP(B87,'MASTER DATA SLT'!$C$4:$R$544,16,0)</f>
        <v>0</v>
      </c>
      <c r="K87">
        <f>VLOOKUP(B87,'MASTER DATA SLT'!$C$4:$S$544,17,0)</f>
        <v>0</v>
      </c>
      <c r="N87" t="str">
        <f>VLOOKUP(B87,'SALARY DETALES'!$B$2:$C$475,2,0)</f>
        <v>CONTINENTAL</v>
      </c>
      <c r="O87" t="str">
        <f>VLOOKUP(B87,'SALARY DETALES'!$B$2:$D$475,3,0)</f>
        <v>HELPER</v>
      </c>
      <c r="Q87" t="str">
        <f>VLOOKUP(B87,'MASTER DATA SLT'!$C$4:$F$544,4,0)</f>
        <v>2024-12-01</v>
      </c>
      <c r="R87">
        <f>VLOOKUP(B87,'MASTER DATA SLT'!$C$4:$G$544,5,0)</f>
        <v>0</v>
      </c>
      <c r="U87">
        <f>VLOOKUP(B87,'SALARY DETALES'!$B$2:$S$475,18,0)</f>
        <v>25000</v>
      </c>
    </row>
    <row r="88" spans="1:21" x14ac:dyDescent="0.3">
      <c r="A88">
        <v>87</v>
      </c>
      <c r="B88">
        <v>80529</v>
      </c>
      <c r="C88" t="s">
        <v>1930</v>
      </c>
      <c r="D88" t="s">
        <v>1869</v>
      </c>
      <c r="E88" t="str">
        <f>VLOOKUP(B88,'MASTER DATA SLT'!$C$4:$H$544,6,0)</f>
        <v>BUS</v>
      </c>
      <c r="F88" t="str">
        <f>VLOOKUP(B88,'MASTER DATA SLT'!$C$4:$F$544,4,0)</f>
        <v>2024-12-12</v>
      </c>
      <c r="G88" t="str">
        <f>VLOOKUP(B88,'MASTER DATA SLT'!$C$4:$P$544,14,0)</f>
        <v>45302-1958383</v>
      </c>
      <c r="I88" t="str">
        <f>VLOOKUP(B88,'MASTER DATA SLT'!$C$4:$Q$544,15,0)</f>
        <v>0327-2540782</v>
      </c>
      <c r="J88">
        <f>VLOOKUP(B88,'MASTER DATA SLT'!$C$4:$R$544,16,0)</f>
        <v>0</v>
      </c>
      <c r="K88">
        <f>VLOOKUP(B88,'MASTER DATA SLT'!$C$4:$S$544,17,0)</f>
        <v>0</v>
      </c>
      <c r="N88" t="str">
        <f>VLOOKUP(B88,'SALARY DETALES'!$B$2:$C$475,2,0)</f>
        <v>CONTINENTAL</v>
      </c>
      <c r="O88" t="str">
        <f>VLOOKUP(B88,'SALARY DETALES'!$B$2:$D$475,3,0)</f>
        <v>HELPER</v>
      </c>
      <c r="Q88" t="str">
        <f>VLOOKUP(B88,'MASTER DATA SLT'!$C$4:$F$544,4,0)</f>
        <v>2024-12-12</v>
      </c>
      <c r="R88">
        <f>VLOOKUP(B88,'MASTER DATA SLT'!$C$4:$G$544,5,0)</f>
        <v>0</v>
      </c>
      <c r="U88">
        <f>VLOOKUP(B88,'SALARY DETALES'!$B$2:$S$475,18,0)</f>
        <v>23000</v>
      </c>
    </row>
    <row r="89" spans="1:21" x14ac:dyDescent="0.3">
      <c r="A89">
        <v>88</v>
      </c>
      <c r="B89">
        <v>80555</v>
      </c>
      <c r="C89" t="s">
        <v>198</v>
      </c>
      <c r="D89" t="s">
        <v>2137</v>
      </c>
      <c r="E89" t="str">
        <f>VLOOKUP(B89,'MASTER DATA SLT'!$C$4:$H$544,6,0)</f>
        <v>BUS</v>
      </c>
      <c r="F89" t="str">
        <f>VLOOKUP(B89,'MASTER DATA SLT'!$C$4:$F$544,4,0)</f>
        <v>2024-12-08</v>
      </c>
      <c r="G89" t="str">
        <f>VLOOKUP(B89,'MASTER DATA SLT'!$C$4:$P$544,14,0)</f>
        <v>15201-8315046</v>
      </c>
      <c r="I89" t="str">
        <f>VLOOKUP(B89,'MASTER DATA SLT'!$C$4:$Q$544,15,0)</f>
        <v>0341-2037219</v>
      </c>
      <c r="J89">
        <f>VLOOKUP(B89,'MASTER DATA SLT'!$C$4:$R$544,16,0)</f>
        <v>0</v>
      </c>
      <c r="K89">
        <f>VLOOKUP(B89,'MASTER DATA SLT'!$C$4:$S$544,17,0)</f>
        <v>0</v>
      </c>
      <c r="N89" t="str">
        <f>VLOOKUP(B89,'SALARY DETALES'!$B$2:$C$475,2,0)</f>
        <v>CONTINENTAL</v>
      </c>
      <c r="O89" t="str">
        <f>VLOOKUP(B89,'SALARY DETALES'!$B$2:$D$475,3,0)</f>
        <v>Helper</v>
      </c>
      <c r="Q89" t="str">
        <f>VLOOKUP(B89,'MASTER DATA SLT'!$C$4:$F$544,4,0)</f>
        <v>2024-12-08</v>
      </c>
      <c r="R89">
        <f>VLOOKUP(B89,'MASTER DATA SLT'!$C$4:$G$544,5,0)</f>
        <v>0</v>
      </c>
      <c r="U89">
        <f>VLOOKUP(B89,'SALARY DETALES'!$B$2:$S$475,18,0)</f>
        <v>25000</v>
      </c>
    </row>
    <row r="90" spans="1:21" x14ac:dyDescent="0.3">
      <c r="A90">
        <v>89</v>
      </c>
      <c r="B90">
        <v>80642</v>
      </c>
      <c r="C90" t="s">
        <v>1931</v>
      </c>
      <c r="D90" t="s">
        <v>1932</v>
      </c>
      <c r="E90" t="str">
        <f>VLOOKUP(B90,'MASTER DATA SLT'!$C$4:$H$544,6,0)</f>
        <v>BUS</v>
      </c>
      <c r="F90" t="str">
        <f>VLOOKUP(B90,'MASTER DATA SLT'!$C$4:$F$544,4,0)</f>
        <v>2025-02-15</v>
      </c>
      <c r="G90">
        <f>VLOOKUP(B90,'MASTER DATA SLT'!$C$4:$P$544,14,0)</f>
        <v>0</v>
      </c>
      <c r="I90">
        <f>VLOOKUP(B90,'MASTER DATA SLT'!$C$4:$Q$544,15,0)</f>
        <v>0</v>
      </c>
      <c r="J90">
        <f>VLOOKUP(B90,'MASTER DATA SLT'!$C$4:$R$544,16,0)</f>
        <v>0</v>
      </c>
      <c r="K90">
        <f>VLOOKUP(B90,'MASTER DATA SLT'!$C$4:$S$544,17,0)</f>
        <v>0</v>
      </c>
      <c r="N90" t="str">
        <f>VLOOKUP(B90,'SALARY DETALES'!$B$2:$C$475,2,0)</f>
        <v>CONTINENTAL</v>
      </c>
      <c r="O90" t="str">
        <f>VLOOKUP(B90,'SALARY DETALES'!$B$2:$D$475,3,0)</f>
        <v>HELPER</v>
      </c>
      <c r="Q90" t="str">
        <f>VLOOKUP(B90,'MASTER DATA SLT'!$C$4:$F$544,4,0)</f>
        <v>2025-02-15</v>
      </c>
      <c r="R90">
        <f>VLOOKUP(B90,'MASTER DATA SLT'!$C$4:$G$544,5,0)</f>
        <v>0</v>
      </c>
      <c r="U90">
        <f>VLOOKUP(B90,'SALARY DETALES'!$B$2:$S$475,18,0)</f>
        <v>25000</v>
      </c>
    </row>
    <row r="91" spans="1:21" x14ac:dyDescent="0.3">
      <c r="A91">
        <v>90</v>
      </c>
      <c r="B91">
        <v>80730</v>
      </c>
      <c r="C91" t="s">
        <v>180</v>
      </c>
      <c r="D91" t="s">
        <v>1933</v>
      </c>
      <c r="E91" t="str">
        <f>VLOOKUP(B91,'MASTER DATA SLT'!$C$4:$H$544,6,0)</f>
        <v>BUS</v>
      </c>
      <c r="F91" t="str">
        <f>VLOOKUP(B91,'MASTER DATA SLT'!$C$4:$F$544,4,0)</f>
        <v>2025-02-22</v>
      </c>
      <c r="G91" t="str">
        <f>VLOOKUP(B91,'MASTER DATA SLT'!$C$4:$P$544,14,0)</f>
        <v>13504-0994435</v>
      </c>
      <c r="I91" t="str">
        <f>VLOOKUP(B91,'MASTER DATA SLT'!$C$4:$Q$544,15,0)</f>
        <v>03444427501</v>
      </c>
      <c r="J91">
        <f>VLOOKUP(B91,'MASTER DATA SLT'!$C$4:$R$544,16,0)</f>
        <v>0</v>
      </c>
      <c r="K91">
        <f>VLOOKUP(B91,'MASTER DATA SLT'!$C$4:$S$544,17,0)</f>
        <v>0</v>
      </c>
      <c r="N91" t="str">
        <f>VLOOKUP(B91,'SALARY DETALES'!$B$2:$C$475,2,0)</f>
        <v>CONTINENTAL</v>
      </c>
      <c r="O91" t="str">
        <f>VLOOKUP(B91,'SALARY DETALES'!$B$2:$D$475,3,0)</f>
        <v>HELPER</v>
      </c>
      <c r="Q91" t="str">
        <f>VLOOKUP(B91,'MASTER DATA SLT'!$C$4:$F$544,4,0)</f>
        <v>2025-02-22</v>
      </c>
      <c r="R91">
        <f>VLOOKUP(B91,'MASTER DATA SLT'!$C$4:$G$544,5,0)</f>
        <v>0</v>
      </c>
      <c r="U91">
        <f>VLOOKUP(B91,'SALARY DETALES'!$B$2:$S$475,18,0)</f>
        <v>25000</v>
      </c>
    </row>
    <row r="92" spans="1:21" x14ac:dyDescent="0.3">
      <c r="A92">
        <v>91</v>
      </c>
      <c r="B92">
        <v>80795</v>
      </c>
      <c r="C92" t="s">
        <v>1934</v>
      </c>
      <c r="D92" t="s">
        <v>1935</v>
      </c>
      <c r="E92" t="str">
        <f>VLOOKUP(B92,'MASTER DATA SLT'!$C$4:$H$544,6,0)</f>
        <v>BUS</v>
      </c>
      <c r="F92" t="str">
        <f>VLOOKUP(B92,'MASTER DATA SLT'!$C$4:$F$544,4,0)</f>
        <v>2025-04-19</v>
      </c>
      <c r="G92">
        <f>VLOOKUP(B92,'MASTER DATA SLT'!$C$4:$P$544,14,0)</f>
        <v>0</v>
      </c>
      <c r="I92" t="str">
        <f>VLOOKUP(B92,'MASTER DATA SLT'!$C$4:$Q$544,15,0)</f>
        <v>0327-2336765</v>
      </c>
      <c r="J92">
        <f>VLOOKUP(B92,'MASTER DATA SLT'!$C$4:$R$544,16,0)</f>
        <v>0</v>
      </c>
      <c r="K92">
        <f>VLOOKUP(B92,'MASTER DATA SLT'!$C$4:$S$544,17,0)</f>
        <v>0</v>
      </c>
      <c r="N92" t="str">
        <f>VLOOKUP(B92,'SALARY DETALES'!$B$2:$C$475,2,0)</f>
        <v>CONTINENTAL</v>
      </c>
      <c r="O92" t="str">
        <f>VLOOKUP(B92,'SALARY DETALES'!$B$2:$D$475,3,0)</f>
        <v>INTERNSHIP</v>
      </c>
      <c r="Q92" t="str">
        <f>VLOOKUP(B92,'MASTER DATA SLT'!$C$4:$F$544,4,0)</f>
        <v>2025-04-19</v>
      </c>
      <c r="R92">
        <f>VLOOKUP(B92,'MASTER DATA SLT'!$C$4:$G$544,5,0)</f>
        <v>0</v>
      </c>
      <c r="U92">
        <f>VLOOKUP(B92,'SALARY DETALES'!$B$2:$S$475,18,0)</f>
        <v>15000</v>
      </c>
    </row>
    <row r="93" spans="1:21" x14ac:dyDescent="0.3">
      <c r="A93">
        <v>92</v>
      </c>
      <c r="B93">
        <v>22163</v>
      </c>
      <c r="C93" t="s">
        <v>1936</v>
      </c>
      <c r="D93" t="s">
        <v>1937</v>
      </c>
      <c r="E93" t="str">
        <f>VLOOKUP(B93,'MASTER DATA SLT'!$C$4:$H$544,6,0)</f>
        <v>NO</v>
      </c>
      <c r="F93" t="str">
        <f>VLOOKUP(B93,'MASTER DATA SLT'!$C$4:$F$544,4,0)</f>
        <v>2022-10-08</v>
      </c>
      <c r="G93">
        <f>VLOOKUP(B93,'MASTER DATA SLT'!$C$4:$P$544,14,0)</f>
        <v>0</v>
      </c>
      <c r="I93">
        <f>VLOOKUP(B93,'MASTER DATA SLT'!$C$4:$Q$544,15,0)</f>
        <v>0</v>
      </c>
      <c r="J93">
        <f>VLOOKUP(B93,'MASTER DATA SLT'!$C$4:$R$544,16,0)</f>
        <v>0</v>
      </c>
      <c r="K93">
        <f>VLOOKUP(B93,'MASTER DATA SLT'!$C$4:$S$544,17,0)</f>
        <v>0</v>
      </c>
      <c r="N93" t="str">
        <f>VLOOKUP(B93,'SALARY DETALES'!$B$2:$C$475,2,0)</f>
        <v>Events</v>
      </c>
      <c r="O93" t="str">
        <f>VLOOKUP(B93,'SALARY DETALES'!$B$2:$D$475,3,0)</f>
        <v>Event Helper</v>
      </c>
      <c r="Q93" t="str">
        <f>VLOOKUP(B93,'MASTER DATA SLT'!$C$4:$F$544,4,0)</f>
        <v>2022-10-08</v>
      </c>
      <c r="R93">
        <f>VLOOKUP(B93,'MASTER DATA SLT'!$C$4:$G$544,5,0)</f>
        <v>60</v>
      </c>
      <c r="U93">
        <f>VLOOKUP(B93,'SALARY DETALES'!$B$2:$S$475,18,0)</f>
        <v>27500</v>
      </c>
    </row>
    <row r="94" spans="1:21" x14ac:dyDescent="0.3">
      <c r="A94">
        <v>93</v>
      </c>
      <c r="B94">
        <v>14069</v>
      </c>
      <c r="C94" t="s">
        <v>1938</v>
      </c>
      <c r="D94" t="s">
        <v>1939</v>
      </c>
      <c r="E94" t="str">
        <f>VLOOKUP(B94,'MASTER DATA SLT'!$C$4:$H$544,6,0)</f>
        <v>NO</v>
      </c>
      <c r="F94" t="str">
        <f>VLOOKUP(B94,'MASTER DATA SLT'!$C$4:$F$544,4,0)</f>
        <v>2024-01-05</v>
      </c>
      <c r="G94">
        <f>VLOOKUP(B94,'MASTER DATA SLT'!$C$4:$P$544,14,0)</f>
        <v>0</v>
      </c>
      <c r="I94">
        <f>VLOOKUP(B94,'MASTER DATA SLT'!$C$4:$Q$544,15,0)</f>
        <v>0</v>
      </c>
      <c r="J94">
        <f>VLOOKUP(B94,'MASTER DATA SLT'!$C$4:$R$544,16,0)</f>
        <v>0</v>
      </c>
      <c r="K94">
        <f>VLOOKUP(B94,'MASTER DATA SLT'!$C$4:$S$544,17,0)</f>
        <v>0</v>
      </c>
      <c r="N94" t="str">
        <f>VLOOKUP(B94,'SALARY DETALES'!$B$2:$C$475,2,0)</f>
        <v>Events</v>
      </c>
      <c r="O94" t="str">
        <f>VLOOKUP(B94,'SALARY DETALES'!$B$2:$D$475,3,0)</f>
        <v>event</v>
      </c>
      <c r="Q94" t="str">
        <f>VLOOKUP(B94,'MASTER DATA SLT'!$C$4:$F$544,4,0)</f>
        <v>2024-01-05</v>
      </c>
      <c r="R94">
        <f>VLOOKUP(B94,'MASTER DATA SLT'!$C$4:$G$544,5,0)</f>
        <v>60</v>
      </c>
      <c r="U94">
        <f>VLOOKUP(B94,'SALARY DETALES'!$B$2:$S$475,18,0)</f>
        <v>30000</v>
      </c>
    </row>
    <row r="95" spans="1:21" x14ac:dyDescent="0.3">
      <c r="A95">
        <v>94</v>
      </c>
      <c r="B95">
        <v>80513</v>
      </c>
      <c r="C95" t="s">
        <v>1940</v>
      </c>
      <c r="D95" t="s">
        <v>1941</v>
      </c>
      <c r="E95" t="str">
        <f>VLOOKUP(B95,'MASTER DATA SLT'!$C$4:$H$544,6,0)</f>
        <v>NO</v>
      </c>
      <c r="F95" t="str">
        <f>VLOOKUP(B95,'MASTER DATA SLT'!$C$4:$F$544,4,0)</f>
        <v>2024-11-22</v>
      </c>
      <c r="G95" t="str">
        <f>VLOOKUP(B95,'MASTER DATA SLT'!$C$4:$P$544,14,0)</f>
        <v>42101-1730836</v>
      </c>
      <c r="I95" t="str">
        <f>VLOOKUP(B95,'MASTER DATA SLT'!$C$4:$Q$544,15,0)</f>
        <v>0370-0240995</v>
      </c>
      <c r="J95">
        <f>VLOOKUP(B95,'MASTER DATA SLT'!$C$4:$R$544,16,0)</f>
        <v>0</v>
      </c>
      <c r="K95">
        <f>VLOOKUP(B95,'MASTER DATA SLT'!$C$4:$S$544,17,0)</f>
        <v>0</v>
      </c>
      <c r="N95" t="str">
        <f>VLOOKUP(B95,'SALARY DETALES'!$B$2:$C$475,2,0)</f>
        <v>Events</v>
      </c>
      <c r="O95" t="str">
        <f>VLOOKUP(B95,'SALARY DETALES'!$B$2:$D$475,3,0)</f>
        <v>Event Assistant</v>
      </c>
      <c r="Q95" t="str">
        <f>VLOOKUP(B95,'MASTER DATA SLT'!$C$4:$F$544,4,0)</f>
        <v>2024-11-22</v>
      </c>
      <c r="R95">
        <f>VLOOKUP(B95,'MASTER DATA SLT'!$C$4:$G$544,5,0)</f>
        <v>405</v>
      </c>
      <c r="U95">
        <f>VLOOKUP(B95,'SALARY DETALES'!$B$2:$S$475,18,0)</f>
        <v>28000</v>
      </c>
    </row>
    <row r="96" spans="1:21" x14ac:dyDescent="0.3">
      <c r="A96">
        <v>95</v>
      </c>
      <c r="B96">
        <v>80742</v>
      </c>
      <c r="C96" t="s">
        <v>210</v>
      </c>
      <c r="D96" t="s">
        <v>2137</v>
      </c>
      <c r="E96" t="str">
        <f>VLOOKUP(B96,'MASTER DATA SLT'!$C$4:$H$544,6,0)</f>
        <v>BUS</v>
      </c>
      <c r="F96" t="str">
        <f>VLOOKUP(B96,'MASTER DATA SLT'!$C$4:$F$544,4,0)</f>
        <v>2025-03-26</v>
      </c>
      <c r="G96" t="str">
        <f>VLOOKUP(B96,'MASTER DATA SLT'!$C$4:$P$544,14,0)</f>
        <v>42401-9947684</v>
      </c>
      <c r="I96" t="str">
        <f>VLOOKUP(B96,'MASTER DATA SLT'!$C$4:$Q$544,15,0)</f>
        <v>0310-6493139</v>
      </c>
      <c r="J96">
        <f>VLOOKUP(B96,'MASTER DATA SLT'!$C$4:$R$544,16,0)</f>
        <v>0</v>
      </c>
      <c r="K96">
        <f>VLOOKUP(B96,'MASTER DATA SLT'!$C$4:$S$544,17,0)</f>
        <v>0</v>
      </c>
      <c r="N96" t="str">
        <f>VLOOKUP(B96,'SALARY DETALES'!$B$2:$C$475,2,0)</f>
        <v>Events</v>
      </c>
      <c r="O96" t="str">
        <f>VLOOKUP(B96,'SALARY DETALES'!$B$2:$D$475,3,0)</f>
        <v>Event Assistant</v>
      </c>
      <c r="Q96" t="str">
        <f>VLOOKUP(B96,'MASTER DATA SLT'!$C$4:$F$544,4,0)</f>
        <v>2025-03-26</v>
      </c>
      <c r="R96">
        <f>VLOOKUP(B96,'MASTER DATA SLT'!$C$4:$G$544,5,0)</f>
        <v>0</v>
      </c>
      <c r="U96">
        <f>VLOOKUP(B96,'SALARY DETALES'!$B$2:$S$475,18,0)</f>
        <v>30000</v>
      </c>
    </row>
    <row r="97" spans="1:21" x14ac:dyDescent="0.3">
      <c r="A97">
        <v>96</v>
      </c>
      <c r="B97">
        <v>80441</v>
      </c>
      <c r="C97" t="s">
        <v>1942</v>
      </c>
      <c r="D97" t="s">
        <v>1861</v>
      </c>
      <c r="E97" t="str">
        <f>VLOOKUP(B97,'MASTER DATA SLT'!$C$4:$H$544,6,0)</f>
        <v>NO</v>
      </c>
      <c r="F97" t="str">
        <f>VLOOKUP(B97,'MASTER DATA SLT'!$C$4:$F$544,4,0)</f>
        <v>2024-10-09</v>
      </c>
      <c r="G97" t="str">
        <f>VLOOKUP(B97,'MASTER DATA SLT'!$C$4:$P$544,14,0)</f>
        <v>71501-4900517</v>
      </c>
      <c r="I97" t="str">
        <f>VLOOKUP(B97,'MASTER DATA SLT'!$C$4:$Q$544,15,0)</f>
        <v>0318-3690245</v>
      </c>
      <c r="J97">
        <f>VLOOKUP(B97,'MASTER DATA SLT'!$C$4:$R$544,16,0)</f>
        <v>0</v>
      </c>
      <c r="K97">
        <f>VLOOKUP(B97,'MASTER DATA SLT'!$C$4:$S$544,17,0)</f>
        <v>0</v>
      </c>
      <c r="N97" t="str">
        <f>VLOOKUP(B97,'SALARY DETALES'!$B$2:$C$475,2,0)</f>
        <v>Events</v>
      </c>
      <c r="O97" t="str">
        <f>VLOOKUP(B97,'SALARY DETALES'!$B$2:$D$475,3,0)</f>
        <v>event</v>
      </c>
      <c r="Q97" t="str">
        <f>VLOOKUP(B97,'MASTER DATA SLT'!$C$4:$F$544,4,0)</f>
        <v>2024-10-09</v>
      </c>
      <c r="R97">
        <f>VLOOKUP(B97,'MASTER DATA SLT'!$C$4:$G$544,5,0)</f>
        <v>60</v>
      </c>
      <c r="U97">
        <f>VLOOKUP(B97,'SALARY DETALES'!$B$2:$S$475,18,0)</f>
        <v>28000</v>
      </c>
    </row>
    <row r="98" spans="1:21" x14ac:dyDescent="0.3">
      <c r="A98">
        <v>97</v>
      </c>
      <c r="B98">
        <v>28145</v>
      </c>
      <c r="C98" t="s">
        <v>1943</v>
      </c>
      <c r="D98" t="s">
        <v>1863</v>
      </c>
      <c r="E98" t="str">
        <f>VLOOKUP(B98,'MASTER DATA SLT'!$C$4:$H$544,6,0)</f>
        <v>BUS</v>
      </c>
      <c r="F98" t="str">
        <f>VLOOKUP(B98,'MASTER DATA SLT'!$C$4:$F$544,4,0)</f>
        <v>2025-01-07</v>
      </c>
      <c r="G98">
        <f>VLOOKUP(B98,'MASTER DATA SLT'!$C$4:$P$544,14,0)</f>
        <v>0</v>
      </c>
      <c r="I98" t="str">
        <f>VLOOKUP(B98,'MASTER DATA SLT'!$C$4:$Q$544,15,0)</f>
        <v>0355-5910584</v>
      </c>
      <c r="J98">
        <f>VLOOKUP(B98,'MASTER DATA SLT'!$C$4:$R$544,16,0)</f>
        <v>0</v>
      </c>
      <c r="K98">
        <f>VLOOKUP(B98,'MASTER DATA SLT'!$C$4:$S$544,17,0)</f>
        <v>0</v>
      </c>
      <c r="N98" t="str">
        <f>VLOOKUP(B98,'SALARY DETALES'!$B$2:$C$475,2,0)</f>
        <v>F&amp;F</v>
      </c>
      <c r="O98" t="str">
        <f>VLOOKUP(B98,'SALARY DETALES'!$B$2:$D$475,3,0)</f>
        <v>BW</v>
      </c>
      <c r="Q98" t="str">
        <f>VLOOKUP(B98,'MASTER DATA SLT'!$C$4:$F$544,4,0)</f>
        <v>2025-01-07</v>
      </c>
      <c r="R98">
        <f>VLOOKUP(B98,'MASTER DATA SLT'!$C$4:$G$544,5,0)</f>
        <v>0</v>
      </c>
      <c r="U98">
        <f>VLOOKUP(B98,'SALARY DETALES'!$B$2:$S$475,18,0)</f>
        <v>16000</v>
      </c>
    </row>
    <row r="99" spans="1:21" x14ac:dyDescent="0.3">
      <c r="A99">
        <v>98</v>
      </c>
      <c r="B99">
        <v>33172</v>
      </c>
      <c r="C99" t="s">
        <v>1944</v>
      </c>
      <c r="D99" t="s">
        <v>1883</v>
      </c>
      <c r="E99" t="str">
        <f>VLOOKUP(B99,'MASTER DATA SLT'!$C$4:$H$544,6,0)</f>
        <v>BUS</v>
      </c>
      <c r="F99" t="str">
        <f>VLOOKUP(B99,'MASTER DATA SLT'!$C$4:$F$544,4,0)</f>
        <v>2025-02-08</v>
      </c>
      <c r="G99" t="str">
        <f>VLOOKUP(B99,'MASTER DATA SLT'!$C$4:$P$544,14,0)</f>
        <v>71202-2833548</v>
      </c>
      <c r="I99" t="str">
        <f>VLOOKUP(B99,'MASTER DATA SLT'!$C$4:$Q$544,15,0)</f>
        <v>03488091750</v>
      </c>
      <c r="J99">
        <f>VLOOKUP(B99,'MASTER DATA SLT'!$C$4:$R$544,16,0)</f>
        <v>0</v>
      </c>
      <c r="K99">
        <f>VLOOKUP(B99,'MASTER DATA SLT'!$C$4:$S$544,17,0)</f>
        <v>0</v>
      </c>
      <c r="N99" t="str">
        <f>VLOOKUP(B99,'SALARY DETALES'!$B$2:$C$475,2,0)</f>
        <v>F&amp;F</v>
      </c>
      <c r="O99" t="str">
        <f>VLOOKUP(B99,'SALARY DETALES'!$B$2:$D$475,3,0)</f>
        <v>BW</v>
      </c>
      <c r="Q99" t="str">
        <f>VLOOKUP(B99,'MASTER DATA SLT'!$C$4:$F$544,4,0)</f>
        <v>2025-02-08</v>
      </c>
      <c r="R99">
        <f>VLOOKUP(B99,'MASTER DATA SLT'!$C$4:$G$544,5,0)</f>
        <v>0</v>
      </c>
      <c r="U99">
        <f>VLOOKUP(B99,'SALARY DETALES'!$B$2:$S$475,18,0)</f>
        <v>16000</v>
      </c>
    </row>
    <row r="100" spans="1:21" x14ac:dyDescent="0.3">
      <c r="A100">
        <v>99</v>
      </c>
      <c r="B100">
        <v>80336</v>
      </c>
      <c r="C100" t="s">
        <v>1759</v>
      </c>
      <c r="D100" t="s">
        <v>1945</v>
      </c>
      <c r="E100" t="str">
        <f>VLOOKUP(B100,'MASTER DATA SLT'!$C$4:$H$544,6,0)</f>
        <v>BUS</v>
      </c>
      <c r="F100" t="str">
        <f>VLOOKUP(B100,'MASTER DATA SLT'!$C$4:$F$544,4,0)</f>
        <v>2024-08-10</v>
      </c>
      <c r="G100" t="str">
        <f>VLOOKUP(B100,'MASTER DATA SLT'!$C$4:$P$544,14,0)</f>
        <v>13504-9248795</v>
      </c>
      <c r="I100" t="str">
        <f>VLOOKUP(B100,'MASTER DATA SLT'!$C$4:$Q$544,15,0)</f>
        <v>03410306930</v>
      </c>
      <c r="J100">
        <f>VLOOKUP(B100,'MASTER DATA SLT'!$C$4:$R$544,16,0)</f>
        <v>0</v>
      </c>
      <c r="K100">
        <f>VLOOKUP(B100,'MASTER DATA SLT'!$C$4:$S$544,17,0)</f>
        <v>0</v>
      </c>
      <c r="N100" t="str">
        <f>VLOOKUP(B100,'SALARY DETALES'!$B$2:$C$475,2,0)</f>
        <v>F&amp;F</v>
      </c>
      <c r="O100" t="str">
        <f>VLOOKUP(B100,'SALARY DETALES'!$B$2:$D$475,3,0)</f>
        <v>RUNNER</v>
      </c>
      <c r="Q100" t="str">
        <f>VLOOKUP(B100,'MASTER DATA SLT'!$C$4:$F$544,4,0)</f>
        <v>2024-08-10</v>
      </c>
      <c r="R100">
        <f>VLOOKUP(B100,'MASTER DATA SLT'!$C$4:$G$544,5,0)</f>
        <v>0</v>
      </c>
      <c r="U100">
        <f>VLOOKUP(B100,'SALARY DETALES'!$B$2:$S$475,18,0)</f>
        <v>16000</v>
      </c>
    </row>
    <row r="101" spans="1:21" x14ac:dyDescent="0.3">
      <c r="A101">
        <v>100</v>
      </c>
      <c r="B101">
        <v>80407</v>
      </c>
      <c r="C101" t="s">
        <v>1928</v>
      </c>
      <c r="D101" t="s">
        <v>1857</v>
      </c>
      <c r="E101" t="str">
        <f>VLOOKUP(B101,'MASTER DATA SLT'!$C$4:$H$544,6,0)</f>
        <v>BUS</v>
      </c>
      <c r="F101" t="str">
        <f>VLOOKUP(B101,'MASTER DATA SLT'!$C$4:$F$544,4,0)</f>
        <v>2024-08-23</v>
      </c>
      <c r="G101" t="str">
        <f>VLOOKUP(B101,'MASTER DATA SLT'!$C$4:$P$544,14,0)</f>
        <v>21201-3236007</v>
      </c>
      <c r="I101" t="str">
        <f>VLOOKUP(B101,'MASTER DATA SLT'!$C$4:$Q$544,15,0)</f>
        <v>03182934859</v>
      </c>
      <c r="J101">
        <f>VLOOKUP(B101,'MASTER DATA SLT'!$C$4:$R$544,16,0)</f>
        <v>0</v>
      </c>
      <c r="K101">
        <f>VLOOKUP(B101,'MASTER DATA SLT'!$C$4:$S$544,17,0)</f>
        <v>0</v>
      </c>
      <c r="N101" t="str">
        <f>VLOOKUP(B101,'SALARY DETALES'!$B$2:$C$475,2,0)</f>
        <v>F&amp;F</v>
      </c>
      <c r="O101" t="str">
        <f>VLOOKUP(B101,'SALARY DETALES'!$B$2:$D$475,3,0)</f>
        <v>OT/A</v>
      </c>
      <c r="Q101" t="str">
        <f>VLOOKUP(B101,'MASTER DATA SLT'!$C$4:$F$544,4,0)</f>
        <v>2024-08-23</v>
      </c>
      <c r="R101">
        <f>VLOOKUP(B101,'MASTER DATA SLT'!$C$4:$G$544,5,0)</f>
        <v>0</v>
      </c>
      <c r="U101">
        <f>VLOOKUP(B101,'SALARY DETALES'!$B$2:$S$475,18,0)</f>
        <v>19800</v>
      </c>
    </row>
    <row r="102" spans="1:21" x14ac:dyDescent="0.3">
      <c r="A102">
        <v>101</v>
      </c>
      <c r="B102">
        <v>80451</v>
      </c>
      <c r="C102" t="s">
        <v>1946</v>
      </c>
      <c r="D102" t="s">
        <v>2148</v>
      </c>
      <c r="E102" t="str">
        <f>VLOOKUP(B102,'MASTER DATA SLT'!$C$4:$H$544,6,0)</f>
        <v>BUS</v>
      </c>
      <c r="F102" t="str">
        <f>VLOOKUP(B102,'MASTER DATA SLT'!$C$4:$F$544,4,0)</f>
        <v>2024-10-19</v>
      </c>
      <c r="G102" t="str">
        <f>VLOOKUP(B102,'MASTER DATA SLT'!$C$4:$P$544,14,0)</f>
        <v>45208-7168009</v>
      </c>
      <c r="I102" t="str">
        <f>VLOOKUP(B102,'MASTER DATA SLT'!$C$4:$Q$544,15,0)</f>
        <v>03043431467</v>
      </c>
      <c r="J102">
        <f>VLOOKUP(B102,'MASTER DATA SLT'!$C$4:$R$544,16,0)</f>
        <v>0</v>
      </c>
      <c r="K102">
        <f>VLOOKUP(B102,'MASTER DATA SLT'!$C$4:$S$544,17,0)</f>
        <v>0</v>
      </c>
      <c r="N102" t="str">
        <f>VLOOKUP(B102,'SALARY DETALES'!$B$2:$C$475,2,0)</f>
        <v>F&amp;F</v>
      </c>
      <c r="O102" t="str">
        <f>VLOOKUP(B102,'SALARY DETALES'!$B$2:$D$475,3,0)</f>
        <v>OT/E</v>
      </c>
      <c r="Q102" t="str">
        <f>VLOOKUP(B102,'MASTER DATA SLT'!$C$4:$F$544,4,0)</f>
        <v>2024-10-19</v>
      </c>
      <c r="R102">
        <f>VLOOKUP(B102,'MASTER DATA SLT'!$C$4:$G$544,5,0)</f>
        <v>0</v>
      </c>
      <c r="U102">
        <f>VLOOKUP(B102,'SALARY DETALES'!$B$2:$S$475,18,0)</f>
        <v>22000</v>
      </c>
    </row>
    <row r="103" spans="1:21" x14ac:dyDescent="0.3">
      <c r="A103">
        <v>102</v>
      </c>
      <c r="B103">
        <v>80549</v>
      </c>
      <c r="C103" t="s">
        <v>1848</v>
      </c>
      <c r="D103" t="s">
        <v>1947</v>
      </c>
      <c r="E103" t="str">
        <f>VLOOKUP(B103,'MASTER DATA SLT'!$C$4:$H$544,6,0)</f>
        <v>BUS</v>
      </c>
      <c r="F103" t="str">
        <f>VLOOKUP(B103,'MASTER DATA SLT'!$C$4:$F$544,4,0)</f>
        <v>2024-12-21</v>
      </c>
      <c r="G103" t="str">
        <f>VLOOKUP(B103,'MASTER DATA SLT'!$C$4:$P$544,14,0)</f>
        <v>71202-4470119</v>
      </c>
      <c r="I103" t="str">
        <f>VLOOKUP(B103,'MASTER DATA SLT'!$C$4:$Q$544,15,0)</f>
        <v>0340-8458856</v>
      </c>
      <c r="J103">
        <f>VLOOKUP(B103,'MASTER DATA SLT'!$C$4:$R$544,16,0)</f>
        <v>0</v>
      </c>
      <c r="K103">
        <f>VLOOKUP(B103,'MASTER DATA SLT'!$C$4:$S$544,17,0)</f>
        <v>0</v>
      </c>
      <c r="N103" t="str">
        <f>VLOOKUP(B103,'SALARY DETALES'!$B$2:$C$475,2,0)</f>
        <v>F&amp;F</v>
      </c>
      <c r="O103" t="str">
        <f>VLOOKUP(B103,'SALARY DETALES'!$B$2:$D$475,3,0)</f>
        <v>B/W</v>
      </c>
      <c r="Q103" t="str">
        <f>VLOOKUP(B103,'MASTER DATA SLT'!$C$4:$F$544,4,0)</f>
        <v>2024-12-21</v>
      </c>
      <c r="R103">
        <f>VLOOKUP(B103,'MASTER DATA SLT'!$C$4:$G$544,5,0)</f>
        <v>0</v>
      </c>
      <c r="U103">
        <f>VLOOKUP(B103,'SALARY DETALES'!$B$2:$S$475,18,0)</f>
        <v>16000</v>
      </c>
    </row>
    <row r="104" spans="1:21" x14ac:dyDescent="0.3">
      <c r="A104">
        <v>103</v>
      </c>
      <c r="B104">
        <v>80618</v>
      </c>
      <c r="C104" t="s">
        <v>1948</v>
      </c>
      <c r="D104" t="s">
        <v>1869</v>
      </c>
      <c r="E104" t="str">
        <f>VLOOKUP(B104,'MASTER DATA SLT'!$C$4:$H$544,6,0)</f>
        <v>BUS</v>
      </c>
      <c r="F104" t="str">
        <f>VLOOKUP(B104,'MASTER DATA SLT'!$C$4:$F$544,4,0)</f>
        <v>2025-02-03</v>
      </c>
      <c r="G104" t="str">
        <f>VLOOKUP(B104,'MASTER DATA SLT'!$C$4:$P$544,14,0)</f>
        <v>7120-16482197</v>
      </c>
      <c r="I104" t="str">
        <f>VLOOKUP(B104,'MASTER DATA SLT'!$C$4:$Q$544,15,0)</f>
        <v>03105178287</v>
      </c>
      <c r="J104">
        <f>VLOOKUP(B104,'MASTER DATA SLT'!$C$4:$R$544,16,0)</f>
        <v>0</v>
      </c>
      <c r="K104">
        <f>VLOOKUP(B104,'MASTER DATA SLT'!$C$4:$S$544,17,0)</f>
        <v>0</v>
      </c>
      <c r="N104" t="str">
        <f>VLOOKUP(B104,'SALARY DETALES'!$B$2:$C$475,2,0)</f>
        <v>F&amp;F</v>
      </c>
      <c r="O104" t="str">
        <f>VLOOKUP(B104,'SALARY DETALES'!$B$2:$D$475,3,0)</f>
        <v>BW/D</v>
      </c>
      <c r="Q104" t="str">
        <f>VLOOKUP(B104,'MASTER DATA SLT'!$C$4:$F$544,4,0)</f>
        <v>2025-02-03</v>
      </c>
      <c r="R104">
        <f>VLOOKUP(B104,'MASTER DATA SLT'!$C$4:$G$544,5,0)</f>
        <v>0</v>
      </c>
      <c r="U104">
        <f>VLOOKUP(B104,'SALARY DETALES'!$B$2:$S$475,18,0)</f>
        <v>16000</v>
      </c>
    </row>
    <row r="105" spans="1:21" x14ac:dyDescent="0.3">
      <c r="A105">
        <v>104</v>
      </c>
      <c r="B105">
        <v>80627</v>
      </c>
      <c r="C105" t="s">
        <v>1759</v>
      </c>
      <c r="D105" t="s">
        <v>1850</v>
      </c>
      <c r="E105" t="str">
        <f>VLOOKUP(B105,'MASTER DATA SLT'!$C$4:$H$544,6,0)</f>
        <v>BUS</v>
      </c>
      <c r="F105" t="str">
        <f>VLOOKUP(B105,'MASTER DATA SLT'!$C$4:$F$544,4,0)</f>
        <v>2025-02-11</v>
      </c>
      <c r="G105" t="str">
        <f>VLOOKUP(B105,'MASTER DATA SLT'!$C$4:$P$544,14,0)</f>
        <v>7120-20103117</v>
      </c>
      <c r="I105" t="str">
        <f>VLOOKUP(B105,'MASTER DATA SLT'!$C$4:$Q$544,15,0)</f>
        <v>03408013796</v>
      </c>
      <c r="J105">
        <f>VLOOKUP(B105,'MASTER DATA SLT'!$C$4:$R$544,16,0)</f>
        <v>0</v>
      </c>
      <c r="K105">
        <f>VLOOKUP(B105,'MASTER DATA SLT'!$C$4:$S$544,17,0)</f>
        <v>0</v>
      </c>
      <c r="N105" t="str">
        <f>VLOOKUP(B105,'SALARY DETALES'!$B$2:$C$475,2,0)</f>
        <v>F&amp;F</v>
      </c>
      <c r="O105" t="str">
        <f>VLOOKUP(B105,'SALARY DETALES'!$B$2:$D$475,3,0)</f>
        <v>BWW/F</v>
      </c>
      <c r="Q105" t="str">
        <f>VLOOKUP(B105,'MASTER DATA SLT'!$C$4:$F$544,4,0)</f>
        <v>2025-02-11</v>
      </c>
      <c r="R105">
        <f>VLOOKUP(B105,'MASTER DATA SLT'!$C$4:$G$544,5,0)</f>
        <v>0</v>
      </c>
      <c r="U105">
        <f>VLOOKUP(B105,'SALARY DETALES'!$B$2:$S$475,18,0)</f>
        <v>16000</v>
      </c>
    </row>
    <row r="106" spans="1:21" x14ac:dyDescent="0.3">
      <c r="A106">
        <v>105</v>
      </c>
      <c r="B106">
        <v>80674</v>
      </c>
      <c r="C106" t="s">
        <v>227</v>
      </c>
      <c r="D106" t="s">
        <v>2137</v>
      </c>
      <c r="E106" t="str">
        <f>VLOOKUP(B106,'MASTER DATA SLT'!$C$4:$H$544,6,0)</f>
        <v>BUS</v>
      </c>
      <c r="F106" t="str">
        <f>VLOOKUP(B106,'MASTER DATA SLT'!$C$4:$F$544,4,0)</f>
        <v>2025-03-01</v>
      </c>
      <c r="G106">
        <f>VLOOKUP(B106,'MASTER DATA SLT'!$C$4:$P$544,14,0)</f>
        <v>0</v>
      </c>
      <c r="I106">
        <f>VLOOKUP(B106,'MASTER DATA SLT'!$C$4:$Q$544,15,0)</f>
        <v>0</v>
      </c>
      <c r="J106">
        <f>VLOOKUP(B106,'MASTER DATA SLT'!$C$4:$R$544,16,0)</f>
        <v>0</v>
      </c>
      <c r="K106">
        <f>VLOOKUP(B106,'MASTER DATA SLT'!$C$4:$S$544,17,0)</f>
        <v>0</v>
      </c>
      <c r="N106" t="str">
        <f>VLOOKUP(B106,'SALARY DETALES'!$B$2:$C$475,2,0)</f>
        <v>F&amp;F</v>
      </c>
      <c r="O106" t="str">
        <f>VLOOKUP(B106,'SALARY DETALES'!$B$2:$D$475,3,0)</f>
        <v>B/W</v>
      </c>
      <c r="Q106" t="str">
        <f>VLOOKUP(B106,'MASTER DATA SLT'!$C$4:$F$544,4,0)</f>
        <v>2025-03-01</v>
      </c>
      <c r="R106">
        <f>VLOOKUP(B106,'MASTER DATA SLT'!$C$4:$G$544,5,0)</f>
        <v>0</v>
      </c>
      <c r="U106">
        <f>VLOOKUP(B106,'SALARY DETALES'!$B$2:$S$475,18,0)</f>
        <v>16000</v>
      </c>
    </row>
    <row r="107" spans="1:21" x14ac:dyDescent="0.3">
      <c r="A107">
        <v>106</v>
      </c>
      <c r="B107">
        <v>80676</v>
      </c>
      <c r="C107" t="s">
        <v>1929</v>
      </c>
      <c r="D107" t="s">
        <v>575</v>
      </c>
      <c r="E107" t="str">
        <f>VLOOKUP(B107,'MASTER DATA SLT'!$C$4:$H$544,6,0)</f>
        <v>BUS</v>
      </c>
      <c r="F107" t="str">
        <f>VLOOKUP(B107,'MASTER DATA SLT'!$C$4:$F$544,4,0)</f>
        <v>2025-03-01</v>
      </c>
      <c r="G107">
        <f>VLOOKUP(B107,'MASTER DATA SLT'!$C$4:$P$544,14,0)</f>
        <v>0</v>
      </c>
      <c r="I107">
        <f>VLOOKUP(B107,'MASTER DATA SLT'!$C$4:$Q$544,15,0)</f>
        <v>0</v>
      </c>
      <c r="J107">
        <f>VLOOKUP(B107,'MASTER DATA SLT'!$C$4:$R$544,16,0)</f>
        <v>0</v>
      </c>
      <c r="K107">
        <f>VLOOKUP(B107,'MASTER DATA SLT'!$C$4:$S$544,17,0)</f>
        <v>0</v>
      </c>
      <c r="N107" t="str">
        <f>VLOOKUP(B107,'SALARY DETALES'!$B$2:$C$475,2,0)</f>
        <v>F&amp;F</v>
      </c>
      <c r="O107" t="str">
        <f>VLOOKUP(B107,'SALARY DETALES'!$B$2:$D$475,3,0)</f>
        <v>B/W</v>
      </c>
      <c r="Q107" t="str">
        <f>VLOOKUP(B107,'MASTER DATA SLT'!$C$4:$F$544,4,0)</f>
        <v>2025-03-01</v>
      </c>
      <c r="R107">
        <f>VLOOKUP(B107,'MASTER DATA SLT'!$C$4:$G$544,5,0)</f>
        <v>0</v>
      </c>
      <c r="U107">
        <f>VLOOKUP(B107,'SALARY DETALES'!$B$2:$S$475,18,0)</f>
        <v>16000</v>
      </c>
    </row>
    <row r="108" spans="1:21" x14ac:dyDescent="0.3">
      <c r="A108">
        <v>107</v>
      </c>
      <c r="B108">
        <v>80682</v>
      </c>
      <c r="C108" t="s">
        <v>1848</v>
      </c>
      <c r="D108" t="s">
        <v>1849</v>
      </c>
      <c r="E108" t="str">
        <f>VLOOKUP(B108,'MASTER DATA SLT'!$C$4:$H$544,6,0)</f>
        <v>BUS</v>
      </c>
      <c r="F108" t="str">
        <f>VLOOKUP(B108,'MASTER DATA SLT'!$C$4:$F$544,4,0)</f>
        <v>2025-03-10</v>
      </c>
      <c r="G108">
        <f>VLOOKUP(B108,'MASTER DATA SLT'!$C$4:$P$544,14,0)</f>
        <v>0</v>
      </c>
      <c r="I108">
        <f>VLOOKUP(B108,'MASTER DATA SLT'!$C$4:$Q$544,15,0)</f>
        <v>0</v>
      </c>
      <c r="J108">
        <f>VLOOKUP(B108,'MASTER DATA SLT'!$C$4:$R$544,16,0)</f>
        <v>0</v>
      </c>
      <c r="K108">
        <f>VLOOKUP(B108,'MASTER DATA SLT'!$C$4:$S$544,17,0)</f>
        <v>0</v>
      </c>
      <c r="N108" t="str">
        <f>VLOOKUP(B108,'SALARY DETALES'!$B$2:$C$475,2,0)</f>
        <v>F&amp;F</v>
      </c>
      <c r="O108" t="str">
        <f>VLOOKUP(B108,'SALARY DETALES'!$B$2:$D$475,3,0)</f>
        <v>B/S</v>
      </c>
      <c r="Q108" t="str">
        <f>VLOOKUP(B108,'MASTER DATA SLT'!$C$4:$F$544,4,0)</f>
        <v>2025-03-10</v>
      </c>
      <c r="R108">
        <f>VLOOKUP(B108,'MASTER DATA SLT'!$C$4:$G$544,5,0)</f>
        <v>0</v>
      </c>
      <c r="U108">
        <f>VLOOKUP(B108,'SALARY DETALES'!$B$2:$S$475,18,0)</f>
        <v>16000</v>
      </c>
    </row>
    <row r="109" spans="1:21" x14ac:dyDescent="0.3">
      <c r="A109">
        <v>108</v>
      </c>
      <c r="B109">
        <v>80689</v>
      </c>
      <c r="C109" t="s">
        <v>1949</v>
      </c>
      <c r="D109" t="s">
        <v>1846</v>
      </c>
      <c r="E109" t="str">
        <f>VLOOKUP(B109,'MASTER DATA SLT'!$C$4:$H$544,6,0)</f>
        <v>BUS</v>
      </c>
      <c r="F109" t="str">
        <f>VLOOKUP(B109,'MASTER DATA SLT'!$C$4:$F$544,4,0)</f>
        <v>2025-03-13</v>
      </c>
      <c r="G109">
        <f>VLOOKUP(B109,'MASTER DATA SLT'!$C$4:$P$544,14,0)</f>
        <v>0</v>
      </c>
      <c r="I109">
        <f>VLOOKUP(B109,'MASTER DATA SLT'!$C$4:$Q$544,15,0)</f>
        <v>0</v>
      </c>
      <c r="J109">
        <f>VLOOKUP(B109,'MASTER DATA SLT'!$C$4:$R$544,16,0)</f>
        <v>0</v>
      </c>
      <c r="K109">
        <f>VLOOKUP(B109,'MASTER DATA SLT'!$C$4:$S$544,17,0)</f>
        <v>0</v>
      </c>
      <c r="N109" t="str">
        <f>VLOOKUP(B109,'SALARY DETALES'!$B$2:$C$475,2,0)</f>
        <v>F&amp;F</v>
      </c>
      <c r="O109" t="str">
        <f>VLOOKUP(B109,'SALARY DETALES'!$B$2:$D$475,3,0)</f>
        <v>B/W</v>
      </c>
      <c r="Q109" t="str">
        <f>VLOOKUP(B109,'MASTER DATA SLT'!$C$4:$F$544,4,0)</f>
        <v>2025-03-13</v>
      </c>
      <c r="R109">
        <f>VLOOKUP(B109,'MASTER DATA SLT'!$C$4:$G$544,5,0)</f>
        <v>0</v>
      </c>
      <c r="U109">
        <f>VLOOKUP(B109,'SALARY DETALES'!$B$2:$S$475,18,0)</f>
        <v>16000</v>
      </c>
    </row>
    <row r="110" spans="1:21" x14ac:dyDescent="0.3">
      <c r="A110">
        <v>109</v>
      </c>
      <c r="B110">
        <v>80716</v>
      </c>
      <c r="C110" t="s">
        <v>1950</v>
      </c>
      <c r="D110" t="s">
        <v>1912</v>
      </c>
      <c r="E110" t="str">
        <f>VLOOKUP(B110,'MASTER DATA SLT'!$C$4:$H$544,6,0)</f>
        <v>BUS</v>
      </c>
      <c r="F110" t="str">
        <f>VLOOKUP(B110,'MASTER DATA SLT'!$C$4:$F$544,4,0)</f>
        <v>2025-03-15</v>
      </c>
      <c r="G110" t="str">
        <f>VLOOKUP(B110,'MASTER DATA SLT'!$C$4:$P$544,14,0)</f>
        <v>70202-6136222</v>
      </c>
      <c r="I110" t="str">
        <f>VLOOKUP(B110,'MASTER DATA SLT'!$C$4:$Q$544,15,0)</f>
        <v>03554279644</v>
      </c>
      <c r="J110">
        <f>VLOOKUP(B110,'MASTER DATA SLT'!$C$4:$R$544,16,0)</f>
        <v>0</v>
      </c>
      <c r="K110">
        <f>VLOOKUP(B110,'MASTER DATA SLT'!$C$4:$S$544,17,0)</f>
        <v>0</v>
      </c>
      <c r="N110" t="str">
        <f>VLOOKUP(B110,'SALARY DETALES'!$B$2:$C$475,2,0)</f>
        <v>F&amp;F</v>
      </c>
      <c r="O110" t="str">
        <f>VLOOKUP(B110,'SALARY DETALES'!$B$2:$D$475,3,0)</f>
        <v>BW/PATIO</v>
      </c>
      <c r="Q110" t="str">
        <f>VLOOKUP(B110,'MASTER DATA SLT'!$C$4:$F$544,4,0)</f>
        <v>2025-03-15</v>
      </c>
      <c r="R110">
        <f>VLOOKUP(B110,'MASTER DATA SLT'!$C$4:$G$544,5,0)</f>
        <v>0</v>
      </c>
      <c r="U110">
        <f>VLOOKUP(B110,'SALARY DETALES'!$B$2:$S$475,18,0)</f>
        <v>16000</v>
      </c>
    </row>
    <row r="111" spans="1:21" x14ac:dyDescent="0.3">
      <c r="A111">
        <v>110</v>
      </c>
      <c r="B111">
        <v>28001</v>
      </c>
      <c r="C111" t="s">
        <v>1848</v>
      </c>
      <c r="D111" t="s">
        <v>1951</v>
      </c>
      <c r="E111" t="str">
        <f>VLOOKUP(B111,'MASTER DATA SLT'!$C$4:$H$544,6,0)</f>
        <v>BUS</v>
      </c>
      <c r="F111" t="str">
        <f>VLOOKUP(B111,'MASTER DATA SLT'!$C$4:$F$544,4,0)</f>
        <v>2021-11-28</v>
      </c>
      <c r="G111">
        <f>VLOOKUP(B111,'MASTER DATA SLT'!$C$4:$P$544,14,0)</f>
        <v>0</v>
      </c>
      <c r="I111">
        <f>VLOOKUP(B111,'MASTER DATA SLT'!$C$4:$Q$544,15,0)</f>
        <v>0</v>
      </c>
      <c r="J111">
        <f>VLOOKUP(B111,'MASTER DATA SLT'!$C$4:$R$544,16,0)</f>
        <v>0</v>
      </c>
      <c r="K111">
        <f>VLOOKUP(B111,'MASTER DATA SLT'!$C$4:$S$544,17,0)</f>
        <v>0</v>
      </c>
      <c r="N111" t="str">
        <f>VLOOKUP(B111,'SALARY DETALES'!$B$2:$C$475,2,0)</f>
        <v>Floor Management</v>
      </c>
      <c r="O111" t="str">
        <f>VLOOKUP(B111,'SALARY DETALES'!$B$2:$D$475,3,0)</f>
        <v>MANAGER</v>
      </c>
      <c r="Q111" t="str">
        <f>VLOOKUP(B111,'MASTER DATA SLT'!$C$4:$F$544,4,0)</f>
        <v>2021-11-28</v>
      </c>
      <c r="R111">
        <f>VLOOKUP(B111,'MASTER DATA SLT'!$C$4:$G$544,5,0)</f>
        <v>0</v>
      </c>
      <c r="U111">
        <f>VLOOKUP(B111,'SALARY DETALES'!$B$2:$S$475,18,0)</f>
        <v>60000</v>
      </c>
    </row>
    <row r="112" spans="1:21" x14ac:dyDescent="0.3">
      <c r="A112">
        <v>111</v>
      </c>
      <c r="B112">
        <v>28002</v>
      </c>
      <c r="C112" t="s">
        <v>1952</v>
      </c>
      <c r="D112" t="s">
        <v>1953</v>
      </c>
      <c r="E112" t="str">
        <f>VLOOKUP(B112,'MASTER DATA SLT'!$C$4:$H$544,6,0)</f>
        <v>BUS</v>
      </c>
      <c r="F112" t="str">
        <f>VLOOKUP(B112,'MASTER DATA SLT'!$C$4:$F$544,4,0)</f>
        <v>2021-12-28</v>
      </c>
      <c r="G112">
        <f>VLOOKUP(B112,'MASTER DATA SLT'!$C$4:$P$544,14,0)</f>
        <v>0</v>
      </c>
      <c r="I112">
        <f>VLOOKUP(B112,'MASTER DATA SLT'!$C$4:$Q$544,15,0)</f>
        <v>0</v>
      </c>
      <c r="J112">
        <f>VLOOKUP(B112,'MASTER DATA SLT'!$C$4:$R$544,16,0)</f>
        <v>0</v>
      </c>
      <c r="K112">
        <f>VLOOKUP(B112,'MASTER DATA SLT'!$C$4:$S$544,17,0)</f>
        <v>0</v>
      </c>
      <c r="N112" t="str">
        <f>VLOOKUP(B112,'SALARY DETALES'!$B$2:$C$475,2,0)</f>
        <v>Floor Management</v>
      </c>
      <c r="O112" t="str">
        <f>VLOOKUP(B112,'SALARY DETALES'!$B$2:$D$475,3,0)</f>
        <v>MANAGER</v>
      </c>
      <c r="Q112" t="str">
        <f>VLOOKUP(B112,'MASTER DATA SLT'!$C$4:$F$544,4,0)</f>
        <v>2021-12-28</v>
      </c>
      <c r="R112">
        <f>VLOOKUP(B112,'MASTER DATA SLT'!$C$4:$G$544,5,0)</f>
        <v>0</v>
      </c>
      <c r="U112">
        <f>VLOOKUP(B112,'SALARY DETALES'!$B$2:$S$475,18,0)</f>
        <v>40000</v>
      </c>
    </row>
    <row r="113" spans="1:21" x14ac:dyDescent="0.3">
      <c r="A113">
        <v>112</v>
      </c>
      <c r="B113">
        <v>29056</v>
      </c>
      <c r="C113" t="s">
        <v>446</v>
      </c>
      <c r="D113" t="s">
        <v>1954</v>
      </c>
      <c r="E113" t="str">
        <f>VLOOKUP(B113,'MASTER DATA SLT'!$C$4:$H$544,6,0)</f>
        <v>BUS</v>
      </c>
      <c r="F113" t="str">
        <f>VLOOKUP(B113,'MASTER DATA SLT'!$C$4:$F$544,4,0)</f>
        <v>2024-10-29</v>
      </c>
      <c r="G113" t="str">
        <f>VLOOKUP(B113,'MASTER DATA SLT'!$C$4:$P$544,14,0)</f>
        <v>71601-0591904</v>
      </c>
      <c r="I113" t="str">
        <f>VLOOKUP(B113,'MASTER DATA SLT'!$C$4:$Q$544,15,0)</f>
        <v>03339201698</v>
      </c>
      <c r="J113">
        <f>VLOOKUP(B113,'MASTER DATA SLT'!$C$4:$R$544,16,0)</f>
        <v>0</v>
      </c>
      <c r="K113">
        <f>VLOOKUP(B113,'MASTER DATA SLT'!$C$4:$S$544,17,0)</f>
        <v>0</v>
      </c>
      <c r="N113" t="str">
        <f>VLOOKUP(B113,'SALARY DETALES'!$B$2:$C$475,2,0)</f>
        <v>Floor Management</v>
      </c>
      <c r="O113" t="str">
        <f>VLOOKUP(B113,'SALARY DETALES'!$B$2:$D$475,3,0)</f>
        <v>CAPTAIN</v>
      </c>
      <c r="Q113" t="str">
        <f>VLOOKUP(B113,'MASTER DATA SLT'!$C$4:$F$544,4,0)</f>
        <v>2024-10-29</v>
      </c>
      <c r="R113">
        <f>VLOOKUP(B113,'MASTER DATA SLT'!$C$4:$G$544,5,0)</f>
        <v>0</v>
      </c>
      <c r="U113">
        <f>VLOOKUP(B113,'SALARY DETALES'!$B$2:$S$475,18,0)</f>
        <v>36300</v>
      </c>
    </row>
    <row r="114" spans="1:21" x14ac:dyDescent="0.3">
      <c r="A114">
        <v>113</v>
      </c>
      <c r="B114">
        <v>30048</v>
      </c>
      <c r="C114" t="s">
        <v>1875</v>
      </c>
      <c r="D114" t="s">
        <v>1955</v>
      </c>
      <c r="E114" t="str">
        <f>VLOOKUP(B114,'MASTER DATA SLT'!$C$4:$H$544,6,0)</f>
        <v>BUS</v>
      </c>
      <c r="F114" t="str">
        <f>VLOOKUP(B114,'MASTER DATA SLT'!$C$4:$F$544,4,0)</f>
        <v>2024-11-07</v>
      </c>
      <c r="G114" t="str">
        <f>VLOOKUP(B114,'MASTER DATA SLT'!$C$4:$P$544,14,0)</f>
        <v>71203-7856257</v>
      </c>
      <c r="I114" t="str">
        <f>VLOOKUP(B114,'MASTER DATA SLT'!$C$4:$Q$544,15,0)</f>
        <v>0310-2446661</v>
      </c>
      <c r="J114">
        <f>VLOOKUP(B114,'MASTER DATA SLT'!$C$4:$R$544,16,0)</f>
        <v>0</v>
      </c>
      <c r="K114">
        <f>VLOOKUP(B114,'MASTER DATA SLT'!$C$4:$S$544,17,0)</f>
        <v>0</v>
      </c>
      <c r="N114" t="str">
        <f>VLOOKUP(B114,'SALARY DETALES'!$B$2:$C$475,2,0)</f>
        <v>Floor Management</v>
      </c>
      <c r="O114" t="str">
        <f>VLOOKUP(B114,'SALARY DETALES'!$B$2:$D$475,3,0)</f>
        <v>CAPTAIN</v>
      </c>
      <c r="Q114" t="str">
        <f>VLOOKUP(B114,'MASTER DATA SLT'!$C$4:$F$544,4,0)</f>
        <v>2024-11-07</v>
      </c>
      <c r="R114">
        <f>VLOOKUP(B114,'MASTER DATA SLT'!$C$4:$G$544,5,0)</f>
        <v>0</v>
      </c>
      <c r="U114">
        <f>VLOOKUP(B114,'SALARY DETALES'!$B$2:$S$475,18,0)</f>
        <v>33000</v>
      </c>
    </row>
    <row r="115" spans="1:21" x14ac:dyDescent="0.3">
      <c r="A115">
        <v>114</v>
      </c>
      <c r="B115">
        <v>30052</v>
      </c>
      <c r="C115" t="s">
        <v>1848</v>
      </c>
      <c r="D115" t="s">
        <v>1956</v>
      </c>
      <c r="E115" t="str">
        <f>VLOOKUP(B115,'MASTER DATA SLT'!$C$4:$H$544,6,0)</f>
        <v>BUS</v>
      </c>
      <c r="F115" t="str">
        <f>VLOOKUP(B115,'MASTER DATA SLT'!$C$4:$F$544,4,0)</f>
        <v>2021-12-30</v>
      </c>
      <c r="G115">
        <f>VLOOKUP(B115,'MASTER DATA SLT'!$C$4:$P$544,14,0)</f>
        <v>0</v>
      </c>
      <c r="I115">
        <f>VLOOKUP(B115,'MASTER DATA SLT'!$C$4:$Q$544,15,0)</f>
        <v>0</v>
      </c>
      <c r="J115">
        <f>VLOOKUP(B115,'MASTER DATA SLT'!$C$4:$R$544,16,0)</f>
        <v>0</v>
      </c>
      <c r="K115">
        <f>VLOOKUP(B115,'MASTER DATA SLT'!$C$4:$S$544,17,0)</f>
        <v>0</v>
      </c>
      <c r="N115" t="str">
        <f>VLOOKUP(B115,'SALARY DETALES'!$B$2:$C$475,2,0)</f>
        <v>Floor Management</v>
      </c>
      <c r="O115" t="str">
        <f>VLOOKUP(B115,'SALARY DETALES'!$B$2:$D$475,3,0)</f>
        <v>CAPITAN</v>
      </c>
      <c r="Q115" t="str">
        <f>VLOOKUP(B115,'MASTER DATA SLT'!$C$4:$F$544,4,0)</f>
        <v>2021-12-30</v>
      </c>
      <c r="R115">
        <f>VLOOKUP(B115,'MASTER DATA SLT'!$C$4:$G$544,5,0)</f>
        <v>0</v>
      </c>
      <c r="U115">
        <f>VLOOKUP(B115,'SALARY DETALES'!$B$2:$S$475,18,0)</f>
        <v>30000</v>
      </c>
    </row>
    <row r="116" spans="1:21" x14ac:dyDescent="0.3">
      <c r="A116">
        <v>115</v>
      </c>
      <c r="B116">
        <v>30064</v>
      </c>
      <c r="C116" t="s">
        <v>1957</v>
      </c>
      <c r="D116" t="s">
        <v>1958</v>
      </c>
      <c r="E116" t="str">
        <f>VLOOKUP(B116,'MASTER DATA SLT'!$C$4:$H$544,6,0)</f>
        <v>BUS</v>
      </c>
      <c r="F116" t="str">
        <f>VLOOKUP(B116,'MASTER DATA SLT'!$C$4:$F$544,4,0)</f>
        <v>2021-11-28</v>
      </c>
      <c r="G116">
        <f>VLOOKUP(B116,'MASTER DATA SLT'!$C$4:$P$544,14,0)</f>
        <v>0</v>
      </c>
      <c r="I116">
        <f>VLOOKUP(B116,'MASTER DATA SLT'!$C$4:$Q$544,15,0)</f>
        <v>0</v>
      </c>
      <c r="J116">
        <f>VLOOKUP(B116,'MASTER DATA SLT'!$C$4:$R$544,16,0)</f>
        <v>0</v>
      </c>
      <c r="K116">
        <f>VLOOKUP(B116,'MASTER DATA SLT'!$C$4:$S$544,17,0)</f>
        <v>0</v>
      </c>
      <c r="N116" t="str">
        <f>VLOOKUP(B116,'SALARY DETALES'!$B$2:$C$475,2,0)</f>
        <v>Floor Management</v>
      </c>
      <c r="O116" t="str">
        <f>VLOOKUP(B116,'SALARY DETALES'!$B$2:$D$475,3,0)</f>
        <v>Manager</v>
      </c>
      <c r="Q116" t="str">
        <f>VLOOKUP(B116,'MASTER DATA SLT'!$C$4:$F$544,4,0)</f>
        <v>2021-11-28</v>
      </c>
      <c r="R116">
        <f>VLOOKUP(B116,'MASTER DATA SLT'!$C$4:$G$544,5,0)</f>
        <v>0</v>
      </c>
      <c r="U116">
        <f>VLOOKUP(B116,'SALARY DETALES'!$B$2:$S$475,18,0)</f>
        <v>45000</v>
      </c>
    </row>
    <row r="117" spans="1:21" x14ac:dyDescent="0.3">
      <c r="A117">
        <v>116</v>
      </c>
      <c r="B117">
        <v>33009</v>
      </c>
      <c r="C117" t="s">
        <v>245</v>
      </c>
      <c r="D117" t="s">
        <v>2137</v>
      </c>
      <c r="E117" t="str">
        <f>VLOOKUP(B117,'MASTER DATA SLT'!$C$4:$H$544,6,0)</f>
        <v>BUS</v>
      </c>
      <c r="F117" t="str">
        <f>VLOOKUP(B117,'MASTER DATA SLT'!$C$4:$F$544,4,0)</f>
        <v>2024-01-18</v>
      </c>
      <c r="G117">
        <f>VLOOKUP(B117,'MASTER DATA SLT'!$C$4:$P$544,14,0)</f>
        <v>0</v>
      </c>
      <c r="I117">
        <f>VLOOKUP(B117,'MASTER DATA SLT'!$C$4:$Q$544,15,0)</f>
        <v>0</v>
      </c>
      <c r="J117">
        <f>VLOOKUP(B117,'MASTER DATA SLT'!$C$4:$R$544,16,0)</f>
        <v>0</v>
      </c>
      <c r="K117">
        <f>VLOOKUP(B117,'MASTER DATA SLT'!$C$4:$S$544,17,0)</f>
        <v>0</v>
      </c>
      <c r="N117" t="str">
        <f>VLOOKUP(B117,'SALARY DETALES'!$B$2:$C$475,2,0)</f>
        <v>Floor Management</v>
      </c>
      <c r="O117" t="str">
        <f>VLOOKUP(B117,'SALARY DETALES'!$B$2:$D$475,3,0)</f>
        <v>CAPTAIN</v>
      </c>
      <c r="Q117" t="str">
        <f>VLOOKUP(B117,'MASTER DATA SLT'!$C$4:$F$544,4,0)</f>
        <v>2024-01-18</v>
      </c>
      <c r="R117">
        <f>VLOOKUP(B117,'MASTER DATA SLT'!$C$4:$G$544,5,0)</f>
        <v>0</v>
      </c>
      <c r="U117">
        <f>VLOOKUP(B117,'SALARY DETALES'!$B$2:$S$475,18,0)</f>
        <v>36300</v>
      </c>
    </row>
    <row r="118" spans="1:21" x14ac:dyDescent="0.3">
      <c r="A118">
        <v>117</v>
      </c>
      <c r="B118">
        <v>33015</v>
      </c>
      <c r="C118" t="s">
        <v>1740</v>
      </c>
      <c r="D118" t="s">
        <v>2149</v>
      </c>
      <c r="E118" t="str">
        <f>VLOOKUP(B118,'MASTER DATA SLT'!$C$4:$H$544,6,0)</f>
        <v>BUS</v>
      </c>
      <c r="F118" t="str">
        <f>VLOOKUP(B118,'MASTER DATA SLT'!$C$4:$F$544,4,0)</f>
        <v>2021-12-25</v>
      </c>
      <c r="G118">
        <f>VLOOKUP(B118,'MASTER DATA SLT'!$C$4:$P$544,14,0)</f>
        <v>0</v>
      </c>
      <c r="I118">
        <f>VLOOKUP(B118,'MASTER DATA SLT'!$C$4:$Q$544,15,0)</f>
        <v>0</v>
      </c>
      <c r="J118">
        <f>VLOOKUP(B118,'MASTER DATA SLT'!$C$4:$R$544,16,0)</f>
        <v>0</v>
      </c>
      <c r="K118">
        <f>VLOOKUP(B118,'MASTER DATA SLT'!$C$4:$S$544,17,0)</f>
        <v>0</v>
      </c>
      <c r="N118" t="str">
        <f>VLOOKUP(B118,'SALARY DETALES'!$B$2:$C$475,2,0)</f>
        <v>Floor Management</v>
      </c>
      <c r="O118" t="str">
        <f>VLOOKUP(B118,'SALARY DETALES'!$B$2:$D$475,3,0)</f>
        <v>CAPTAIN</v>
      </c>
      <c r="Q118" t="str">
        <f>VLOOKUP(B118,'MASTER DATA SLT'!$C$4:$F$544,4,0)</f>
        <v>2021-12-25</v>
      </c>
      <c r="R118">
        <f>VLOOKUP(B118,'MASTER DATA SLT'!$C$4:$G$544,5,0)</f>
        <v>0</v>
      </c>
      <c r="U118">
        <f>VLOOKUP(B118,'SALARY DETALES'!$B$2:$S$475,18,0)</f>
        <v>30000</v>
      </c>
    </row>
    <row r="119" spans="1:21" x14ac:dyDescent="0.3">
      <c r="A119">
        <v>118</v>
      </c>
      <c r="B119">
        <v>28087</v>
      </c>
      <c r="C119" t="s">
        <v>1959</v>
      </c>
      <c r="D119" t="s">
        <v>1960</v>
      </c>
      <c r="E119" t="str">
        <f>VLOOKUP(B119,'MASTER DATA SLT'!$C$4:$H$544,6,0)</f>
        <v>NO</v>
      </c>
      <c r="F119" t="str">
        <f>VLOOKUP(B119,'MASTER DATA SLT'!$C$4:$F$544,4,0)</f>
        <v>2022-03-26</v>
      </c>
      <c r="G119">
        <f>VLOOKUP(B119,'MASTER DATA SLT'!$C$4:$P$544,14,0)</f>
        <v>0</v>
      </c>
      <c r="I119">
        <f>VLOOKUP(B119,'MASTER DATA SLT'!$C$4:$Q$544,15,0)</f>
        <v>0</v>
      </c>
      <c r="J119">
        <f>VLOOKUP(B119,'MASTER DATA SLT'!$C$4:$R$544,16,0)</f>
        <v>0</v>
      </c>
      <c r="K119">
        <f>VLOOKUP(B119,'MASTER DATA SLT'!$C$4:$S$544,17,0)</f>
        <v>0</v>
      </c>
      <c r="N119" t="str">
        <f>VLOOKUP(B119,'SALARY DETALES'!$B$2:$C$475,2,0)</f>
        <v>Floor Management</v>
      </c>
      <c r="O119" t="str">
        <f>VLOOKUP(B119,'SALARY DETALES'!$B$2:$D$475,3,0)</f>
        <v>CAPTAIN</v>
      </c>
      <c r="Q119" t="str">
        <f>VLOOKUP(B119,'MASTER DATA SLT'!$C$4:$F$544,4,0)</f>
        <v>2022-03-26</v>
      </c>
      <c r="R119">
        <f>VLOOKUP(B119,'MASTER DATA SLT'!$C$4:$G$544,5,0)</f>
        <v>15</v>
      </c>
      <c r="U119">
        <f>VLOOKUP(B119,'SALARY DETALES'!$B$2:$S$475,18,0)</f>
        <v>33000</v>
      </c>
    </row>
    <row r="120" spans="1:21" x14ac:dyDescent="0.3">
      <c r="A120">
        <v>119</v>
      </c>
      <c r="B120">
        <v>33071</v>
      </c>
      <c r="C120" t="s">
        <v>487</v>
      </c>
      <c r="D120" t="s">
        <v>1863</v>
      </c>
      <c r="E120" t="str">
        <f>VLOOKUP(B120,'MASTER DATA SLT'!$C$4:$H$544,6,0)</f>
        <v>NO</v>
      </c>
      <c r="F120" t="str">
        <f>VLOOKUP(B120,'MASTER DATA SLT'!$C$4:$F$544,4,0)</f>
        <v>2022-01-26</v>
      </c>
      <c r="G120">
        <f>VLOOKUP(B120,'MASTER DATA SLT'!$C$4:$P$544,14,0)</f>
        <v>0</v>
      </c>
      <c r="I120">
        <f>VLOOKUP(B120,'MASTER DATA SLT'!$C$4:$Q$544,15,0)</f>
        <v>0</v>
      </c>
      <c r="J120">
        <f>VLOOKUP(B120,'MASTER DATA SLT'!$C$4:$R$544,16,0)</f>
        <v>0</v>
      </c>
      <c r="K120">
        <f>VLOOKUP(B120,'MASTER DATA SLT'!$C$4:$S$544,17,0)</f>
        <v>0</v>
      </c>
      <c r="N120" t="str">
        <f>VLOOKUP(B120,'SALARY DETALES'!$B$2:$C$475,2,0)</f>
        <v>Floor Management</v>
      </c>
      <c r="O120" t="str">
        <f>VLOOKUP(B120,'SALARY DETALES'!$B$2:$D$475,3,0)</f>
        <v>CAPTAIN</v>
      </c>
      <c r="Q120" t="str">
        <f>VLOOKUP(B120,'MASTER DATA SLT'!$C$4:$F$544,4,0)</f>
        <v>2022-01-26</v>
      </c>
      <c r="R120">
        <f>VLOOKUP(B120,'MASTER DATA SLT'!$C$4:$G$544,5,0)</f>
        <v>20</v>
      </c>
      <c r="U120">
        <f>VLOOKUP(B120,'SALARY DETALES'!$B$2:$S$475,18,0)</f>
        <v>33000</v>
      </c>
    </row>
    <row r="121" spans="1:21" x14ac:dyDescent="0.3">
      <c r="A121">
        <v>120</v>
      </c>
      <c r="B121">
        <v>30123</v>
      </c>
      <c r="C121" t="s">
        <v>249</v>
      </c>
      <c r="D121" t="s">
        <v>2137</v>
      </c>
      <c r="E121" t="str">
        <f>VLOOKUP(B121,'MASTER DATA SLT'!$C$4:$H$544,6,0)</f>
        <v>BUS</v>
      </c>
      <c r="F121" t="str">
        <f>VLOOKUP(B121,'MASTER DATA SLT'!$C$4:$F$544,4,0)</f>
        <v>2022-05-01</v>
      </c>
      <c r="G121">
        <f>VLOOKUP(B121,'MASTER DATA SLT'!$C$4:$P$544,14,0)</f>
        <v>0</v>
      </c>
      <c r="I121">
        <f>VLOOKUP(B121,'MASTER DATA SLT'!$C$4:$Q$544,15,0)</f>
        <v>0</v>
      </c>
      <c r="J121">
        <f>VLOOKUP(B121,'MASTER DATA SLT'!$C$4:$R$544,16,0)</f>
        <v>0</v>
      </c>
      <c r="K121">
        <f>VLOOKUP(B121,'MASTER DATA SLT'!$C$4:$S$544,17,0)</f>
        <v>0</v>
      </c>
      <c r="N121" t="str">
        <f>VLOOKUP(B121,'SALARY DETALES'!$B$2:$C$475,2,0)</f>
        <v>Floor Management</v>
      </c>
      <c r="O121" t="str">
        <f>VLOOKUP(B121,'SALARY DETALES'!$B$2:$D$475,3,0)</f>
        <v>CAPTAIN</v>
      </c>
      <c r="Q121" t="str">
        <f>VLOOKUP(B121,'MASTER DATA SLT'!$C$4:$F$544,4,0)</f>
        <v>2022-05-01</v>
      </c>
      <c r="R121">
        <f>VLOOKUP(B121,'MASTER DATA SLT'!$C$4:$G$544,5,0)</f>
        <v>0</v>
      </c>
      <c r="U121">
        <f>VLOOKUP(B121,'SALARY DETALES'!$B$2:$S$475,18,0)</f>
        <v>33000</v>
      </c>
    </row>
    <row r="122" spans="1:21" x14ac:dyDescent="0.3">
      <c r="A122">
        <v>121</v>
      </c>
      <c r="B122">
        <v>33134</v>
      </c>
      <c r="C122" t="s">
        <v>250</v>
      </c>
      <c r="D122" t="s">
        <v>2137</v>
      </c>
      <c r="E122" t="str">
        <f>VLOOKUP(B122,'MASTER DATA SLT'!$C$4:$H$544,6,0)</f>
        <v>BUS</v>
      </c>
      <c r="F122" t="str">
        <f>VLOOKUP(B122,'MASTER DATA SLT'!$C$4:$F$544,4,0)</f>
        <v>2023-01-27</v>
      </c>
      <c r="G122">
        <f>VLOOKUP(B122,'MASTER DATA SLT'!$C$4:$P$544,14,0)</f>
        <v>0</v>
      </c>
      <c r="I122">
        <f>VLOOKUP(B122,'MASTER DATA SLT'!$C$4:$Q$544,15,0)</f>
        <v>0</v>
      </c>
      <c r="J122">
        <f>VLOOKUP(B122,'MASTER DATA SLT'!$C$4:$R$544,16,0)</f>
        <v>0</v>
      </c>
      <c r="K122">
        <f>VLOOKUP(B122,'MASTER DATA SLT'!$C$4:$S$544,17,0)</f>
        <v>0</v>
      </c>
      <c r="N122" t="str">
        <f>VLOOKUP(B122,'SALARY DETALES'!$B$2:$C$475,2,0)</f>
        <v>Floor Management</v>
      </c>
      <c r="O122" t="str">
        <f>VLOOKUP(B122,'SALARY DETALES'!$B$2:$D$475,3,0)</f>
        <v>MANAGER</v>
      </c>
      <c r="Q122" t="str">
        <f>VLOOKUP(B122,'MASTER DATA SLT'!$C$4:$F$544,4,0)</f>
        <v>2023-01-27</v>
      </c>
      <c r="R122">
        <f>VLOOKUP(B122,'MASTER DATA SLT'!$C$4:$G$544,5,0)</f>
        <v>0</v>
      </c>
      <c r="U122">
        <f>VLOOKUP(B122,'SALARY DETALES'!$B$2:$S$475,18,0)</f>
        <v>60000</v>
      </c>
    </row>
    <row r="123" spans="1:21" x14ac:dyDescent="0.3">
      <c r="A123">
        <v>122</v>
      </c>
      <c r="B123">
        <v>28063</v>
      </c>
      <c r="C123" t="s">
        <v>1848</v>
      </c>
      <c r="D123" t="s">
        <v>1917</v>
      </c>
      <c r="E123" t="str">
        <f>VLOOKUP(B123,'MASTER DATA SLT'!$C$4:$H$544,6,0)</f>
        <v>NO</v>
      </c>
      <c r="F123" t="str">
        <f>VLOOKUP(B123,'MASTER DATA SLT'!$C$4:$F$544,4,0)</f>
        <v>2023-10-26</v>
      </c>
      <c r="G123">
        <f>VLOOKUP(B123,'MASTER DATA SLT'!$C$4:$P$544,14,0)</f>
        <v>0</v>
      </c>
      <c r="I123" t="str">
        <f>VLOOKUP(B123,'MASTER DATA SLT'!$C$4:$Q$544,15,0)</f>
        <v>0318-1181288</v>
      </c>
      <c r="J123">
        <f>VLOOKUP(B123,'MASTER DATA SLT'!$C$4:$R$544,16,0)</f>
        <v>0</v>
      </c>
      <c r="K123">
        <f>VLOOKUP(B123,'MASTER DATA SLT'!$C$4:$S$544,17,0)</f>
        <v>0</v>
      </c>
      <c r="N123" t="str">
        <f>VLOOKUP(B123,'SALARY DETALES'!$B$2:$C$475,2,0)</f>
        <v>Floor Management</v>
      </c>
      <c r="O123" t="str">
        <f>VLOOKUP(B123,'SALARY DETALES'!$B$2:$D$475,3,0)</f>
        <v>FLOOR INCHAGE</v>
      </c>
      <c r="Q123" t="str">
        <f>VLOOKUP(B123,'MASTER DATA SLT'!$C$4:$F$544,4,0)</f>
        <v>2023-10-26</v>
      </c>
      <c r="R123">
        <f>VLOOKUP(B123,'MASTER DATA SLT'!$C$4:$G$544,5,0)</f>
        <v>20</v>
      </c>
      <c r="U123">
        <f>VLOOKUP(B123,'SALARY DETALES'!$B$2:$S$475,18,0)</f>
        <v>35000</v>
      </c>
    </row>
    <row r="124" spans="1:21" x14ac:dyDescent="0.3">
      <c r="A124">
        <v>123</v>
      </c>
      <c r="B124">
        <v>23030</v>
      </c>
      <c r="C124" t="s">
        <v>1961</v>
      </c>
      <c r="D124" t="s">
        <v>1962</v>
      </c>
      <c r="E124" t="str">
        <f>VLOOKUP(B124,'MASTER DATA SLT'!$C$4:$H$544,6,0)</f>
        <v>BUS</v>
      </c>
      <c r="F124" t="str">
        <f>VLOOKUP(B124,'MASTER DATA SLT'!$C$4:$F$544,4,0)</f>
        <v>2024-07-08</v>
      </c>
      <c r="G124" t="str">
        <f>VLOOKUP(B124,'MASTER DATA SLT'!$C$4:$P$544,14,0)</f>
        <v>42201-0699154</v>
      </c>
      <c r="I124" t="str">
        <f>VLOOKUP(B124,'MASTER DATA SLT'!$C$4:$Q$544,15,0)</f>
        <v>0306-0891612</v>
      </c>
      <c r="J124">
        <f>VLOOKUP(B124,'MASTER DATA SLT'!$C$4:$R$544,16,0)</f>
        <v>0</v>
      </c>
      <c r="K124">
        <f>VLOOKUP(B124,'MASTER DATA SLT'!$C$4:$S$544,17,0)</f>
        <v>0</v>
      </c>
      <c r="N124" t="str">
        <f>VLOOKUP(B124,'SALARY DETALES'!$B$2:$C$475,2,0)</f>
        <v>Floor Management</v>
      </c>
      <c r="O124" t="str">
        <f>VLOOKUP(B124,'SALARY DETALES'!$B$2:$D$475,3,0)</f>
        <v>Sec Manager</v>
      </c>
      <c r="Q124" t="str">
        <f>VLOOKUP(B124,'MASTER DATA SLT'!$C$4:$F$544,4,0)</f>
        <v>2024-07-08</v>
      </c>
      <c r="R124">
        <f>VLOOKUP(B124,'MASTER DATA SLT'!$C$4:$G$544,5,0)</f>
        <v>0</v>
      </c>
      <c r="U124">
        <f>VLOOKUP(B124,'SALARY DETALES'!$B$2:$S$475,18,0)</f>
        <v>55000</v>
      </c>
    </row>
    <row r="125" spans="1:21" x14ac:dyDescent="0.3">
      <c r="A125">
        <v>124</v>
      </c>
      <c r="B125">
        <v>23031</v>
      </c>
      <c r="C125" t="s">
        <v>255</v>
      </c>
      <c r="D125" t="s">
        <v>2137</v>
      </c>
      <c r="E125" t="str">
        <f>VLOOKUP(B125,'MASTER DATA SLT'!$C$4:$H$544,6,0)</f>
        <v>BUS</v>
      </c>
      <c r="F125" t="str">
        <f>VLOOKUP(B125,'MASTER DATA SLT'!$C$4:$F$544,4,0)</f>
        <v>2024-07-14</v>
      </c>
      <c r="G125" t="str">
        <f>VLOOKUP(B125,'MASTER DATA SLT'!$C$4:$P$544,14,0)</f>
        <v>71601-0595835</v>
      </c>
      <c r="I125" t="str">
        <f>VLOOKUP(B125,'MASTER DATA SLT'!$C$4:$Q$544,15,0)</f>
        <v>03330217799</v>
      </c>
      <c r="J125">
        <f>VLOOKUP(B125,'MASTER DATA SLT'!$C$4:$R$544,16,0)</f>
        <v>0</v>
      </c>
      <c r="K125">
        <f>VLOOKUP(B125,'MASTER DATA SLT'!$C$4:$S$544,17,0)</f>
        <v>0</v>
      </c>
      <c r="N125" t="str">
        <f>VLOOKUP(B125,'SALARY DETALES'!$B$2:$C$475,2,0)</f>
        <v>Floor Management</v>
      </c>
      <c r="O125" t="str">
        <f>VLOOKUP(B125,'SALARY DETALES'!$B$2:$D$475,3,0)</f>
        <v>Sec Manager</v>
      </c>
      <c r="Q125" t="str">
        <f>VLOOKUP(B125,'MASTER DATA SLT'!$C$4:$F$544,4,0)</f>
        <v>2024-07-14</v>
      </c>
      <c r="R125">
        <f>VLOOKUP(B125,'MASTER DATA SLT'!$C$4:$G$544,5,0)</f>
        <v>0</v>
      </c>
      <c r="U125">
        <f>VLOOKUP(B125,'SALARY DETALES'!$B$2:$S$475,18,0)</f>
        <v>55000</v>
      </c>
    </row>
    <row r="126" spans="1:21" x14ac:dyDescent="0.3">
      <c r="A126">
        <v>125</v>
      </c>
      <c r="B126">
        <v>80629</v>
      </c>
      <c r="C126" t="s">
        <v>1839</v>
      </c>
      <c r="D126" t="s">
        <v>2150</v>
      </c>
      <c r="E126" t="str">
        <f>VLOOKUP(B126,'MASTER DATA SLT'!$C$4:$H$544,6,0)</f>
        <v>BUS</v>
      </c>
      <c r="F126" t="str">
        <f>VLOOKUP(B126,'MASTER DATA SLT'!$C$4:$F$544,4,0)</f>
        <v>2025-02-07</v>
      </c>
      <c r="G126" t="str">
        <f>VLOOKUP(B126,'MASTER DATA SLT'!$C$4:$P$544,14,0)</f>
        <v>4210-11941873</v>
      </c>
      <c r="I126" t="str">
        <f>VLOOKUP(B126,'MASTER DATA SLT'!$C$4:$Q$544,15,0)</f>
        <v>03162591817</v>
      </c>
      <c r="J126">
        <f>VLOOKUP(B126,'MASTER DATA SLT'!$C$4:$R$544,16,0)</f>
        <v>0</v>
      </c>
      <c r="K126">
        <f>VLOOKUP(B126,'MASTER DATA SLT'!$C$4:$S$544,17,0)</f>
        <v>0</v>
      </c>
      <c r="N126" t="str">
        <f>VLOOKUP(B126,'SALARY DETALES'!$B$2:$C$475,2,0)</f>
        <v>Floor Management</v>
      </c>
      <c r="O126" t="str">
        <f>VLOOKUP(B126,'SALARY DETALES'!$B$2:$D$475,3,0)</f>
        <v>CAPTAIN</v>
      </c>
      <c r="Q126" t="str">
        <f>VLOOKUP(B126,'MASTER DATA SLT'!$C$4:$F$544,4,0)</f>
        <v>2025-02-07</v>
      </c>
      <c r="R126">
        <f>VLOOKUP(B126,'MASTER DATA SLT'!$C$4:$G$544,5,0)</f>
        <v>0</v>
      </c>
      <c r="U126">
        <f>VLOOKUP(B126,'SALARY DETALES'!$B$2:$S$475,18,0)</f>
        <v>25000</v>
      </c>
    </row>
    <row r="127" spans="1:21" x14ac:dyDescent="0.3">
      <c r="A127">
        <v>126</v>
      </c>
      <c r="B127">
        <v>80673</v>
      </c>
      <c r="C127" t="s">
        <v>1950</v>
      </c>
      <c r="D127" t="s">
        <v>1846</v>
      </c>
      <c r="E127" t="str">
        <f>VLOOKUP(B127,'MASTER DATA SLT'!$C$4:$H$544,6,0)</f>
        <v>BUS</v>
      </c>
      <c r="F127" t="str">
        <f>VLOOKUP(B127,'MASTER DATA SLT'!$C$4:$F$544,4,0)</f>
        <v>2025-03-01</v>
      </c>
      <c r="G127">
        <f>VLOOKUP(B127,'MASTER DATA SLT'!$C$4:$P$544,14,0)</f>
        <v>0</v>
      </c>
      <c r="I127" t="str">
        <f>VLOOKUP(B127,'MASTER DATA SLT'!$C$4:$Q$544,15,0)</f>
        <v>0311-3240032</v>
      </c>
      <c r="J127">
        <f>VLOOKUP(B127,'MASTER DATA SLT'!$C$4:$R$544,16,0)</f>
        <v>0</v>
      </c>
      <c r="K127">
        <f>VLOOKUP(B127,'MASTER DATA SLT'!$C$4:$S$544,17,0)</f>
        <v>0</v>
      </c>
      <c r="N127" t="str">
        <f>VLOOKUP(B127,'SALARY DETALES'!$B$2:$C$475,2,0)</f>
        <v>Floor Management</v>
      </c>
      <c r="O127" t="str">
        <f>VLOOKUP(B127,'SALARY DETALES'!$B$2:$D$475,3,0)</f>
        <v>FLOOR MANAGER</v>
      </c>
      <c r="Q127" t="str">
        <f>VLOOKUP(B127,'MASTER DATA SLT'!$C$4:$F$544,4,0)</f>
        <v>2025-03-01</v>
      </c>
      <c r="R127">
        <f>VLOOKUP(B127,'MASTER DATA SLT'!$C$4:$G$544,5,0)</f>
        <v>0</v>
      </c>
      <c r="U127">
        <f>VLOOKUP(B127,'SALARY DETALES'!$B$2:$S$475,18,0)</f>
        <v>60000</v>
      </c>
    </row>
    <row r="128" spans="1:21" x14ac:dyDescent="0.3">
      <c r="A128">
        <v>127</v>
      </c>
      <c r="B128">
        <v>80672</v>
      </c>
      <c r="C128" t="s">
        <v>1875</v>
      </c>
      <c r="D128" t="s">
        <v>2151</v>
      </c>
      <c r="E128" t="str">
        <f>VLOOKUP(B128,'MASTER DATA SLT'!$C$4:$H$544,6,0)</f>
        <v>BUS</v>
      </c>
      <c r="F128" t="str">
        <f>VLOOKUP(B128,'MASTER DATA SLT'!$C$4:$F$544,4,0)</f>
        <v>2025-03-01</v>
      </c>
      <c r="G128">
        <f>VLOOKUP(B128,'MASTER DATA SLT'!$C$4:$P$544,14,0)</f>
        <v>0</v>
      </c>
      <c r="I128" t="str">
        <f>VLOOKUP(B128,'MASTER DATA SLT'!$C$4:$Q$544,15,0)</f>
        <v>0333-4133966</v>
      </c>
      <c r="J128">
        <f>VLOOKUP(B128,'MASTER DATA SLT'!$C$4:$R$544,16,0)</f>
        <v>0</v>
      </c>
      <c r="K128">
        <f>VLOOKUP(B128,'MASTER DATA SLT'!$C$4:$S$544,17,0)</f>
        <v>0</v>
      </c>
      <c r="N128" t="str">
        <f>VLOOKUP(B128,'SALARY DETALES'!$B$2:$C$475,2,0)</f>
        <v>Floor Management</v>
      </c>
      <c r="O128" t="str">
        <f>VLOOKUP(B128,'SALARY DETALES'!$B$2:$D$475,3,0)</f>
        <v>MANAGER</v>
      </c>
      <c r="Q128" t="str">
        <f>VLOOKUP(B128,'MASTER DATA SLT'!$C$4:$F$544,4,0)</f>
        <v>2025-03-01</v>
      </c>
      <c r="R128">
        <f>VLOOKUP(B128,'MASTER DATA SLT'!$C$4:$G$544,5,0)</f>
        <v>0</v>
      </c>
      <c r="U128">
        <f>VLOOKUP(B128,'SALARY DETALES'!$B$2:$S$475,18,0)</f>
        <v>50000</v>
      </c>
    </row>
    <row r="129" spans="1:21" x14ac:dyDescent="0.3">
      <c r="A129">
        <v>128</v>
      </c>
      <c r="B129">
        <v>80636</v>
      </c>
      <c r="C129" t="s">
        <v>1964</v>
      </c>
      <c r="D129" t="s">
        <v>1883</v>
      </c>
      <c r="E129" t="str">
        <f>VLOOKUP(B129,'MASTER DATA SLT'!$C$4:$H$544,6,0)</f>
        <v>BUS</v>
      </c>
      <c r="F129" t="str">
        <f>VLOOKUP(B129,'MASTER DATA SLT'!$C$4:$F$544,4,0)</f>
        <v>2025-02-14</v>
      </c>
      <c r="G129">
        <f>VLOOKUP(B129,'MASTER DATA SLT'!$C$4:$P$544,14,0)</f>
        <v>0</v>
      </c>
      <c r="I129">
        <f>VLOOKUP(B129,'MASTER DATA SLT'!$C$4:$Q$544,15,0)</f>
        <v>0</v>
      </c>
      <c r="J129">
        <f>VLOOKUP(B129,'MASTER DATA SLT'!$C$4:$R$544,16,0)</f>
        <v>0</v>
      </c>
      <c r="K129">
        <f>VLOOKUP(B129,'MASTER DATA SLT'!$C$4:$S$544,17,0)</f>
        <v>0</v>
      </c>
      <c r="N129" t="str">
        <f>VLOOKUP(B129,'SALARY DETALES'!$B$2:$C$475,2,0)</f>
        <v>Floor Wipping</v>
      </c>
      <c r="O129" t="str">
        <f>VLOOKUP(B129,'SALARY DETALES'!$B$2:$D$475,3,0)</f>
        <v>WIPPING</v>
      </c>
      <c r="Q129" t="str">
        <f>VLOOKUP(B129,'MASTER DATA SLT'!$C$4:$F$544,4,0)</f>
        <v>2025-02-14</v>
      </c>
      <c r="R129">
        <f>VLOOKUP(B129,'MASTER DATA SLT'!$C$4:$G$544,5,0)</f>
        <v>0</v>
      </c>
      <c r="U129">
        <f>VLOOKUP(B129,'SALARY DETALES'!$B$2:$S$475,18,0)</f>
        <v>16000</v>
      </c>
    </row>
    <row r="130" spans="1:21" x14ac:dyDescent="0.3">
      <c r="A130">
        <v>129</v>
      </c>
      <c r="B130">
        <v>12002</v>
      </c>
      <c r="C130" t="s">
        <v>1802</v>
      </c>
      <c r="D130" t="s">
        <v>1965</v>
      </c>
      <c r="E130" t="str">
        <f>VLOOKUP(B130,'MASTER DATA SLT'!$C$4:$H$544,6,0)</f>
        <v>BUS</v>
      </c>
      <c r="F130" t="str">
        <f>VLOOKUP(B130,'MASTER DATA SLT'!$C$4:$F$544,4,0)</f>
        <v>2021-12-01</v>
      </c>
      <c r="G130">
        <f>VLOOKUP(B130,'MASTER DATA SLT'!$C$4:$P$544,14,0)</f>
        <v>0</v>
      </c>
      <c r="I130">
        <f>VLOOKUP(B130,'MASTER DATA SLT'!$C$4:$Q$544,15,0)</f>
        <v>0</v>
      </c>
      <c r="J130">
        <f>VLOOKUP(B130,'MASTER DATA SLT'!$C$4:$R$544,16,0)</f>
        <v>0</v>
      </c>
      <c r="K130">
        <f>VLOOKUP(B130,'MASTER DATA SLT'!$C$4:$S$544,17,0)</f>
        <v>0</v>
      </c>
      <c r="N130" t="str">
        <f>VLOOKUP(B130,'SALARY DETALES'!$B$2:$C$475,2,0)</f>
        <v>Floor Wipping</v>
      </c>
      <c r="O130" t="str">
        <f>VLOOKUP(B130,'SALARY DETALES'!$B$2:$D$475,3,0)</f>
        <v>Floor Wipping Incharge</v>
      </c>
      <c r="Q130" t="str">
        <f>VLOOKUP(B130,'MASTER DATA SLT'!$C$4:$F$544,4,0)</f>
        <v>2021-12-01</v>
      </c>
      <c r="R130">
        <f>VLOOKUP(B130,'MASTER DATA SLT'!$C$4:$G$544,5,0)</f>
        <v>0</v>
      </c>
      <c r="U130">
        <f>VLOOKUP(B130,'SALARY DETALES'!$B$2:$S$475,18,0)</f>
        <v>25000</v>
      </c>
    </row>
    <row r="131" spans="1:21" x14ac:dyDescent="0.3">
      <c r="A131">
        <v>130</v>
      </c>
      <c r="B131">
        <v>13043</v>
      </c>
      <c r="C131" t="s">
        <v>1966</v>
      </c>
      <c r="D131" t="s">
        <v>1863</v>
      </c>
      <c r="E131" t="str">
        <f>VLOOKUP(B131,'MASTER DATA SLT'!$C$4:$H$544,6,0)</f>
        <v>BUS</v>
      </c>
      <c r="F131" t="str">
        <f>VLOOKUP(B131,'MASTER DATA SLT'!$C$4:$F$544,4,0)</f>
        <v>2024-10-23</v>
      </c>
      <c r="G131" t="str">
        <f>VLOOKUP(B131,'MASTER DATA SLT'!$C$4:$P$544,14,0)</f>
        <v>42201-6275120</v>
      </c>
      <c r="I131" t="str">
        <f>VLOOKUP(B131,'MASTER DATA SLT'!$C$4:$Q$544,15,0)</f>
        <v>0316-7551250</v>
      </c>
      <c r="J131">
        <f>VLOOKUP(B131,'MASTER DATA SLT'!$C$4:$R$544,16,0)</f>
        <v>0</v>
      </c>
      <c r="K131">
        <f>VLOOKUP(B131,'MASTER DATA SLT'!$C$4:$S$544,17,0)</f>
        <v>0</v>
      </c>
      <c r="N131" t="str">
        <f>VLOOKUP(B131,'SALARY DETALES'!$B$2:$C$475,2,0)</f>
        <v>Floor Wipping</v>
      </c>
      <c r="O131" t="str">
        <f>VLOOKUP(B131,'SALARY DETALES'!$B$2:$D$475,3,0)</f>
        <v>Floor Wipping</v>
      </c>
      <c r="Q131" t="str">
        <f>VLOOKUP(B131,'MASTER DATA SLT'!$C$4:$F$544,4,0)</f>
        <v>2024-10-23</v>
      </c>
      <c r="R131">
        <f>VLOOKUP(B131,'MASTER DATA SLT'!$C$4:$G$544,5,0)</f>
        <v>0</v>
      </c>
      <c r="U131">
        <f>VLOOKUP(B131,'SALARY DETALES'!$B$2:$S$475,18,0)</f>
        <v>16000</v>
      </c>
    </row>
    <row r="132" spans="1:21" x14ac:dyDescent="0.3">
      <c r="A132">
        <v>131</v>
      </c>
      <c r="B132">
        <v>22254</v>
      </c>
      <c r="C132" t="s">
        <v>1967</v>
      </c>
      <c r="D132" t="s">
        <v>1869</v>
      </c>
      <c r="E132" t="str">
        <f>VLOOKUP(B132,'MASTER DATA SLT'!$C$4:$H$544,6,0)</f>
        <v>BUS</v>
      </c>
      <c r="F132" t="str">
        <f>VLOOKUP(B132,'MASTER DATA SLT'!$C$4:$F$544,4,0)</f>
        <v>2025-02-20</v>
      </c>
      <c r="G132">
        <f>VLOOKUP(B132,'MASTER DATA SLT'!$C$4:$P$544,14,0)</f>
        <v>0</v>
      </c>
      <c r="I132">
        <f>VLOOKUP(B132,'MASTER DATA SLT'!$C$4:$Q$544,15,0)</f>
        <v>0</v>
      </c>
      <c r="J132">
        <f>VLOOKUP(B132,'MASTER DATA SLT'!$C$4:$R$544,16,0)</f>
        <v>0</v>
      </c>
      <c r="K132">
        <f>VLOOKUP(B132,'MASTER DATA SLT'!$C$4:$S$544,17,0)</f>
        <v>0</v>
      </c>
      <c r="N132" t="str">
        <f>VLOOKUP(B132,'SALARY DETALES'!$B$2:$C$475,2,0)</f>
        <v>Floor Wipping</v>
      </c>
      <c r="O132" t="str">
        <f>VLOOKUP(B132,'SALARY DETALES'!$B$2:$D$475,3,0)</f>
        <v>Helper</v>
      </c>
      <c r="Q132" t="str">
        <f>VLOOKUP(B132,'MASTER DATA SLT'!$C$4:$F$544,4,0)</f>
        <v>2025-02-20</v>
      </c>
      <c r="R132">
        <f>VLOOKUP(B132,'MASTER DATA SLT'!$C$4:$G$544,5,0)</f>
        <v>0</v>
      </c>
      <c r="U132">
        <f>VLOOKUP(B132,'SALARY DETALES'!$B$2:$S$475,18,0)</f>
        <v>16000</v>
      </c>
    </row>
    <row r="133" spans="1:21" x14ac:dyDescent="0.3">
      <c r="A133">
        <v>132</v>
      </c>
      <c r="B133">
        <v>12069</v>
      </c>
      <c r="C133" t="s">
        <v>1740</v>
      </c>
      <c r="D133" t="s">
        <v>1874</v>
      </c>
      <c r="E133" t="str">
        <f>VLOOKUP(B133,'MASTER DATA SLT'!$C$4:$H$544,6,0)</f>
        <v>BUS</v>
      </c>
      <c r="F133" t="str">
        <f>VLOOKUP(B133,'MASTER DATA SLT'!$C$4:$F$544,4,0)</f>
        <v>2024-04-01</v>
      </c>
      <c r="G133" t="str">
        <f>VLOOKUP(B133,'MASTER DATA SLT'!$C$4:$P$544,14,0)</f>
        <v>45403-4557733</v>
      </c>
      <c r="I133" t="str">
        <f>VLOOKUP(B133,'MASTER DATA SLT'!$C$4:$Q$544,15,0)</f>
        <v>03000326244</v>
      </c>
      <c r="J133">
        <f>VLOOKUP(B133,'MASTER DATA SLT'!$C$4:$R$544,16,0)</f>
        <v>0</v>
      </c>
      <c r="K133">
        <f>VLOOKUP(B133,'MASTER DATA SLT'!$C$4:$S$544,17,0)</f>
        <v>0</v>
      </c>
      <c r="N133" t="str">
        <f>VLOOKUP(B133,'SALARY DETALES'!$B$2:$C$475,2,0)</f>
        <v>Floor Wipping</v>
      </c>
      <c r="O133" t="str">
        <f>VLOOKUP(B133,'SALARY DETALES'!$B$2:$D$475,3,0)</f>
        <v>Floor Wipping</v>
      </c>
      <c r="Q133" t="str">
        <f>VLOOKUP(B133,'MASTER DATA SLT'!$C$4:$F$544,4,0)</f>
        <v>2024-04-01</v>
      </c>
      <c r="R133">
        <f>VLOOKUP(B133,'MASTER DATA SLT'!$C$4:$G$544,5,0)</f>
        <v>0</v>
      </c>
      <c r="U133">
        <f>VLOOKUP(B133,'SALARY DETALES'!$B$2:$S$475,18,0)</f>
        <v>16000</v>
      </c>
    </row>
    <row r="134" spans="1:21" x14ac:dyDescent="0.3">
      <c r="A134">
        <v>133</v>
      </c>
      <c r="B134">
        <v>80436</v>
      </c>
      <c r="C134" t="s">
        <v>1857</v>
      </c>
      <c r="D134" t="s">
        <v>1959</v>
      </c>
      <c r="E134" t="str">
        <f>VLOOKUP(B134,'MASTER DATA SLT'!$C$4:$H$544,6,0)</f>
        <v>BUS</v>
      </c>
      <c r="F134" t="str">
        <f>VLOOKUP(B134,'MASTER DATA SLT'!$C$4:$F$544,4,0)</f>
        <v>2024-10-15</v>
      </c>
      <c r="G134" t="str">
        <f>VLOOKUP(B134,'MASTER DATA SLT'!$C$4:$P$544,14,0)</f>
        <v>15101-4782250</v>
      </c>
      <c r="I134" t="str">
        <f>VLOOKUP(B134,'MASTER DATA SLT'!$C$4:$Q$544,15,0)</f>
        <v>03408774231</v>
      </c>
      <c r="J134">
        <f>VLOOKUP(B134,'MASTER DATA SLT'!$C$4:$R$544,16,0)</f>
        <v>0</v>
      </c>
      <c r="K134">
        <f>VLOOKUP(B134,'MASTER DATA SLT'!$C$4:$S$544,17,0)</f>
        <v>0</v>
      </c>
      <c r="N134" t="str">
        <f>VLOOKUP(B134,'SALARY DETALES'!$B$2:$C$475,2,0)</f>
        <v>Floor Wipping</v>
      </c>
      <c r="O134" t="str">
        <f>VLOOKUP(B134,'SALARY DETALES'!$B$2:$D$475,3,0)</f>
        <v>WIPPING</v>
      </c>
      <c r="Q134" t="str">
        <f>VLOOKUP(B134,'MASTER DATA SLT'!$C$4:$F$544,4,0)</f>
        <v>2024-10-15</v>
      </c>
      <c r="R134">
        <f>VLOOKUP(B134,'MASTER DATA SLT'!$C$4:$G$544,5,0)</f>
        <v>0</v>
      </c>
      <c r="U134">
        <f>VLOOKUP(B134,'SALARY DETALES'!$B$2:$S$475,18,0)</f>
        <v>16000</v>
      </c>
    </row>
    <row r="135" spans="1:21" x14ac:dyDescent="0.3">
      <c r="A135">
        <v>134</v>
      </c>
      <c r="B135">
        <v>80509</v>
      </c>
      <c r="C135" t="s">
        <v>269</v>
      </c>
      <c r="D135" t="s">
        <v>2137</v>
      </c>
      <c r="E135" t="str">
        <f>VLOOKUP(B135,'MASTER DATA SLT'!$C$4:$H$544,6,0)</f>
        <v>BUS</v>
      </c>
      <c r="F135" t="str">
        <f>VLOOKUP(B135,'MASTER DATA SLT'!$C$4:$F$544,4,0)</f>
        <v>2024-11-14</v>
      </c>
      <c r="G135" t="str">
        <f>VLOOKUP(B135,'MASTER DATA SLT'!$C$4:$P$544,14,0)</f>
        <v>24401-8040110</v>
      </c>
      <c r="I135" t="str">
        <f>VLOOKUP(B135,'MASTER DATA SLT'!$C$4:$Q$544,15,0)</f>
        <v>0349-2089265</v>
      </c>
      <c r="J135">
        <f>VLOOKUP(B135,'MASTER DATA SLT'!$C$4:$R$544,16,0)</f>
        <v>0</v>
      </c>
      <c r="K135">
        <f>VLOOKUP(B135,'MASTER DATA SLT'!$C$4:$S$544,17,0)</f>
        <v>0</v>
      </c>
      <c r="N135" t="str">
        <f>VLOOKUP(B135,'SALARY DETALES'!$B$2:$C$475,2,0)</f>
        <v>Floor Wipping</v>
      </c>
      <c r="O135" t="str">
        <f>VLOOKUP(B135,'SALARY DETALES'!$B$2:$D$475,3,0)</f>
        <v>WIPPING</v>
      </c>
      <c r="Q135" t="str">
        <f>VLOOKUP(B135,'MASTER DATA SLT'!$C$4:$F$544,4,0)</f>
        <v>2024-11-14</v>
      </c>
      <c r="R135">
        <f>VLOOKUP(B135,'MASTER DATA SLT'!$C$4:$G$544,5,0)</f>
        <v>0</v>
      </c>
      <c r="U135">
        <f>VLOOKUP(B135,'SALARY DETALES'!$B$2:$S$475,18,0)</f>
        <v>16000</v>
      </c>
    </row>
    <row r="136" spans="1:21" x14ac:dyDescent="0.3">
      <c r="A136">
        <v>135</v>
      </c>
      <c r="B136">
        <v>80516</v>
      </c>
      <c r="C136" t="s">
        <v>1857</v>
      </c>
      <c r="D136" t="s">
        <v>1968</v>
      </c>
      <c r="E136" t="str">
        <f>VLOOKUP(B136,'MASTER DATA SLT'!$C$4:$H$544,6,0)</f>
        <v>BUS</v>
      </c>
      <c r="F136" t="str">
        <f>VLOOKUP(B136,'MASTER DATA SLT'!$C$4:$F$544,4,0)</f>
        <v>2024-11-21</v>
      </c>
      <c r="G136" t="str">
        <f>VLOOKUP(B136,'MASTER DATA SLT'!$C$4:$P$544,14,0)</f>
        <v>42101-9915699</v>
      </c>
      <c r="I136" t="str">
        <f>VLOOKUP(B136,'MASTER DATA SLT'!$C$4:$Q$544,15,0)</f>
        <v>0340-3982735</v>
      </c>
      <c r="J136">
        <f>VLOOKUP(B136,'MASTER DATA SLT'!$C$4:$R$544,16,0)</f>
        <v>0</v>
      </c>
      <c r="K136">
        <f>VLOOKUP(B136,'MASTER DATA SLT'!$C$4:$S$544,17,0)</f>
        <v>0</v>
      </c>
      <c r="N136" t="str">
        <f>VLOOKUP(B136,'SALARY DETALES'!$B$2:$C$475,2,0)</f>
        <v>Floor Wipping</v>
      </c>
      <c r="O136" t="str">
        <f>VLOOKUP(B136,'SALARY DETALES'!$B$2:$D$475,3,0)</f>
        <v>WIPPING</v>
      </c>
      <c r="Q136" t="str">
        <f>VLOOKUP(B136,'MASTER DATA SLT'!$C$4:$F$544,4,0)</f>
        <v>2024-11-21</v>
      </c>
      <c r="R136">
        <f>VLOOKUP(B136,'MASTER DATA SLT'!$C$4:$G$544,5,0)</f>
        <v>0</v>
      </c>
      <c r="U136">
        <f>VLOOKUP(B136,'SALARY DETALES'!$B$2:$S$475,18,0)</f>
        <v>16000</v>
      </c>
    </row>
    <row r="137" spans="1:21" x14ac:dyDescent="0.3">
      <c r="A137">
        <v>136</v>
      </c>
      <c r="B137">
        <v>12008</v>
      </c>
      <c r="C137" t="s">
        <v>1857</v>
      </c>
      <c r="D137" t="s">
        <v>1969</v>
      </c>
      <c r="E137" t="str">
        <f>VLOOKUP(B137,'MASTER DATA SLT'!$C$4:$H$544,6,0)</f>
        <v>BUS</v>
      </c>
      <c r="F137" t="str">
        <f>VLOOKUP(B137,'MASTER DATA SLT'!$C$4:$F$544,4,0)</f>
        <v>0000-00-00</v>
      </c>
      <c r="G137" t="str">
        <f>VLOOKUP(B137,'MASTER DATA SLT'!$C$4:$P$544,14,0)</f>
        <v>42201-6196294</v>
      </c>
      <c r="I137" t="str">
        <f>VLOOKUP(B137,'MASTER DATA SLT'!$C$4:$Q$544,15,0)</f>
        <v>03177504790</v>
      </c>
      <c r="J137">
        <f>VLOOKUP(B137,'MASTER DATA SLT'!$C$4:$R$544,16,0)</f>
        <v>0</v>
      </c>
      <c r="K137">
        <f>VLOOKUP(B137,'MASTER DATA SLT'!$C$4:$S$544,17,0)</f>
        <v>0</v>
      </c>
      <c r="N137" t="str">
        <f>VLOOKUP(B137,'SALARY DETALES'!$B$2:$C$475,2,0)</f>
        <v>Floor Wipping</v>
      </c>
      <c r="O137" t="str">
        <f>VLOOKUP(B137,'SALARY DETALES'!$B$2:$D$475,3,0)</f>
        <v>INCHARGE</v>
      </c>
      <c r="Q137" t="str">
        <f>VLOOKUP(B137,'MASTER DATA SLT'!$C$4:$F$544,4,0)</f>
        <v>0000-00-00</v>
      </c>
      <c r="R137">
        <f>VLOOKUP(B137,'MASTER DATA SLT'!$C$4:$G$544,5,0)</f>
        <v>0</v>
      </c>
      <c r="U137">
        <f>VLOOKUP(B137,'SALARY DETALES'!$B$2:$S$475,18,0)</f>
        <v>34000</v>
      </c>
    </row>
    <row r="138" spans="1:21" x14ac:dyDescent="0.3">
      <c r="A138">
        <v>137</v>
      </c>
      <c r="B138">
        <v>80748</v>
      </c>
      <c r="C138" t="s">
        <v>1857</v>
      </c>
      <c r="D138" t="s">
        <v>1881</v>
      </c>
      <c r="E138" t="str">
        <f>VLOOKUP(B138,'MASTER DATA SLT'!$C$4:$H$544,6,0)</f>
        <v>BUS</v>
      </c>
      <c r="F138" t="str">
        <f>VLOOKUP(B138,'MASTER DATA SLT'!$C$4:$F$544,4,0)</f>
        <v>2025-01-10</v>
      </c>
      <c r="G138" t="str">
        <f>VLOOKUP(B138,'MASTER DATA SLT'!$C$4:$P$544,14,0)</f>
        <v>42201-4056574</v>
      </c>
      <c r="I138" t="str">
        <f>VLOOKUP(B138,'MASTER DATA SLT'!$C$4:$Q$544,15,0)</f>
        <v>03150822995</v>
      </c>
      <c r="J138">
        <f>VLOOKUP(B138,'MASTER DATA SLT'!$C$4:$R$544,16,0)</f>
        <v>0</v>
      </c>
      <c r="K138">
        <f>VLOOKUP(B138,'MASTER DATA SLT'!$C$4:$S$544,17,0)</f>
        <v>0</v>
      </c>
      <c r="N138" t="str">
        <f>VLOOKUP(B138,'SALARY DETALES'!$B$2:$C$475,2,0)</f>
        <v>Floor Wipping</v>
      </c>
      <c r="O138" t="str">
        <f>VLOOKUP(B138,'SALARY DETALES'!$B$2:$D$475,3,0)</f>
        <v>WIPPING</v>
      </c>
      <c r="Q138" t="str">
        <f>VLOOKUP(B138,'MASTER DATA SLT'!$C$4:$F$544,4,0)</f>
        <v>2025-01-10</v>
      </c>
      <c r="R138">
        <f>VLOOKUP(B138,'MASTER DATA SLT'!$C$4:$G$544,5,0)</f>
        <v>0</v>
      </c>
      <c r="U138">
        <f>VLOOKUP(B138,'SALARY DETALES'!$B$2:$S$475,18,0)</f>
        <v>16000</v>
      </c>
    </row>
    <row r="139" spans="1:21" x14ac:dyDescent="0.3">
      <c r="A139">
        <v>138</v>
      </c>
      <c r="B139">
        <v>22021</v>
      </c>
      <c r="C139" t="s">
        <v>1857</v>
      </c>
      <c r="D139" t="s">
        <v>2152</v>
      </c>
      <c r="E139" t="str">
        <f>VLOOKUP(B139,'MASTER DATA SLT'!$C$4:$H$544,6,0)</f>
        <v>BUS</v>
      </c>
      <c r="F139" t="str">
        <f>VLOOKUP(B139,'MASTER DATA SLT'!$C$4:$F$544,4,0)</f>
        <v>2025-02-07</v>
      </c>
      <c r="G139" t="str">
        <f>VLOOKUP(B139,'MASTER DATA SLT'!$C$4:$P$544,14,0)</f>
        <v>42201-476939-</v>
      </c>
      <c r="I139" t="str">
        <f>VLOOKUP(B139,'MASTER DATA SLT'!$C$4:$Q$544,15,0)</f>
        <v>03302589433</v>
      </c>
      <c r="J139">
        <f>VLOOKUP(B139,'MASTER DATA SLT'!$C$4:$R$544,16,0)</f>
        <v>0</v>
      </c>
      <c r="K139">
        <f>VLOOKUP(B139,'MASTER DATA SLT'!$C$4:$S$544,17,0)</f>
        <v>0</v>
      </c>
      <c r="N139" t="str">
        <f>VLOOKUP(B139,'SALARY DETALES'!$B$2:$C$475,2,0)</f>
        <v>Floor Wipping</v>
      </c>
      <c r="O139" t="str">
        <f>VLOOKUP(B139,'SALARY DETALES'!$B$2:$D$475,3,0)</f>
        <v>WIPPING</v>
      </c>
      <c r="Q139" t="str">
        <f>VLOOKUP(B139,'MASTER DATA SLT'!$C$4:$F$544,4,0)</f>
        <v>2025-02-07</v>
      </c>
      <c r="R139">
        <f>VLOOKUP(B139,'MASTER DATA SLT'!$C$4:$G$544,5,0)</f>
        <v>0</v>
      </c>
      <c r="U139">
        <f>VLOOKUP(B139,'SALARY DETALES'!$B$2:$S$475,18,0)</f>
        <v>16000</v>
      </c>
    </row>
    <row r="140" spans="1:21" x14ac:dyDescent="0.3">
      <c r="A140">
        <v>139</v>
      </c>
      <c r="B140">
        <v>80714</v>
      </c>
      <c r="C140" t="s">
        <v>1918</v>
      </c>
      <c r="D140" t="s">
        <v>1970</v>
      </c>
      <c r="E140" t="str">
        <f>VLOOKUP(B140,'MASTER DATA SLT'!$C$4:$H$544,6,0)</f>
        <v>BUS</v>
      </c>
      <c r="F140" t="str">
        <f>VLOOKUP(B140,'MASTER DATA SLT'!$C$4:$F$544,4,0)</f>
        <v>2025-03-14</v>
      </c>
      <c r="G140">
        <f>VLOOKUP(B140,'MASTER DATA SLT'!$C$4:$P$544,14,0)</f>
        <v>0</v>
      </c>
      <c r="I140">
        <f>VLOOKUP(B140,'MASTER DATA SLT'!$C$4:$Q$544,15,0)</f>
        <v>0</v>
      </c>
      <c r="J140">
        <f>VLOOKUP(B140,'MASTER DATA SLT'!$C$4:$R$544,16,0)</f>
        <v>0</v>
      </c>
      <c r="K140">
        <f>VLOOKUP(B140,'MASTER DATA SLT'!$C$4:$S$544,17,0)</f>
        <v>0</v>
      </c>
      <c r="N140" t="str">
        <f>VLOOKUP(B140,'SALARY DETALES'!$B$2:$C$475,2,0)</f>
        <v>Floor Wipping</v>
      </c>
      <c r="O140" t="str">
        <f>VLOOKUP(B140,'SALARY DETALES'!$B$2:$D$475,3,0)</f>
        <v>WIPPING</v>
      </c>
      <c r="Q140" t="str">
        <f>VLOOKUP(B140,'MASTER DATA SLT'!$C$4:$F$544,4,0)</f>
        <v>2025-03-14</v>
      </c>
      <c r="R140">
        <f>VLOOKUP(B140,'MASTER DATA SLT'!$C$4:$G$544,5,0)</f>
        <v>0</v>
      </c>
      <c r="U140">
        <f>VLOOKUP(B140,'SALARY DETALES'!$B$2:$S$475,18,0)</f>
        <v>16000</v>
      </c>
    </row>
    <row r="141" spans="1:21" x14ac:dyDescent="0.3">
      <c r="A141">
        <v>140</v>
      </c>
      <c r="B141">
        <v>80764</v>
      </c>
      <c r="C141" t="s">
        <v>1897</v>
      </c>
      <c r="D141" t="s">
        <v>1869</v>
      </c>
      <c r="E141" t="str">
        <f>VLOOKUP(B141,'MASTER DATA SLT'!$C$4:$H$544,6,0)</f>
        <v>BUS</v>
      </c>
      <c r="F141" t="str">
        <f>VLOOKUP(B141,'MASTER DATA SLT'!$C$4:$F$544,4,0)</f>
        <v>2025-04-12</v>
      </c>
      <c r="G141">
        <f>VLOOKUP(B141,'MASTER DATA SLT'!$C$4:$P$544,14,0)</f>
        <v>0</v>
      </c>
      <c r="I141">
        <f>VLOOKUP(B141,'MASTER DATA SLT'!$C$4:$Q$544,15,0)</f>
        <v>0</v>
      </c>
      <c r="J141">
        <f>VLOOKUP(B141,'MASTER DATA SLT'!$C$4:$R$544,16,0)</f>
        <v>0</v>
      </c>
      <c r="K141">
        <f>VLOOKUP(B141,'MASTER DATA SLT'!$C$4:$S$544,17,0)</f>
        <v>0</v>
      </c>
      <c r="N141" t="str">
        <f>VLOOKUP(B141,'SALARY DETALES'!$B$2:$C$475,2,0)</f>
        <v>Floor Wipping</v>
      </c>
      <c r="O141" t="str">
        <f>VLOOKUP(B141,'SALARY DETALES'!$B$2:$D$475,3,0)</f>
        <v>WIPPING</v>
      </c>
      <c r="Q141" t="str">
        <f>VLOOKUP(B141,'MASTER DATA SLT'!$C$4:$F$544,4,0)</f>
        <v>2025-04-12</v>
      </c>
      <c r="R141">
        <f>VLOOKUP(B141,'MASTER DATA SLT'!$C$4:$G$544,5,0)</f>
        <v>0</v>
      </c>
      <c r="U141">
        <f>VLOOKUP(B141,'SALARY DETALES'!$B$2:$S$475,18,0)</f>
        <v>16000</v>
      </c>
    </row>
    <row r="142" spans="1:21" x14ac:dyDescent="0.3">
      <c r="A142">
        <v>141</v>
      </c>
      <c r="B142">
        <v>80767</v>
      </c>
      <c r="C142" t="s">
        <v>1873</v>
      </c>
      <c r="D142" t="s">
        <v>1971</v>
      </c>
      <c r="E142" t="str">
        <f>VLOOKUP(B142,'MASTER DATA SLT'!$C$4:$H$544,6,0)</f>
        <v>BUS</v>
      </c>
      <c r="F142" t="str">
        <f>VLOOKUP(B142,'MASTER DATA SLT'!$C$4:$F$544,4,0)</f>
        <v>2025-04-19</v>
      </c>
      <c r="G142">
        <f>VLOOKUP(B142,'MASTER DATA SLT'!$C$4:$P$544,14,0)</f>
        <v>0</v>
      </c>
      <c r="I142">
        <f>VLOOKUP(B142,'MASTER DATA SLT'!$C$4:$Q$544,15,0)</f>
        <v>0</v>
      </c>
      <c r="J142">
        <f>VLOOKUP(B142,'MASTER DATA SLT'!$C$4:$R$544,16,0)</f>
        <v>0</v>
      </c>
      <c r="K142">
        <f>VLOOKUP(B142,'MASTER DATA SLT'!$C$4:$S$544,17,0)</f>
        <v>0</v>
      </c>
      <c r="N142" t="str">
        <f>VLOOKUP(B142,'SALARY DETALES'!$B$2:$C$475,2,0)</f>
        <v>Floor Wipping</v>
      </c>
      <c r="O142" t="str">
        <f>VLOOKUP(B142,'SALARY DETALES'!$B$2:$D$475,3,0)</f>
        <v>WIPPING</v>
      </c>
      <c r="Q142" t="str">
        <f>VLOOKUP(B142,'MASTER DATA SLT'!$C$4:$F$544,4,0)</f>
        <v>2025-04-19</v>
      </c>
      <c r="R142">
        <f>VLOOKUP(B142,'MASTER DATA SLT'!$C$4:$G$544,5,0)</f>
        <v>0</v>
      </c>
      <c r="U142">
        <f>VLOOKUP(B142,'SALARY DETALES'!$B$2:$S$475,18,0)</f>
        <v>16000</v>
      </c>
    </row>
    <row r="143" spans="1:21" x14ac:dyDescent="0.3">
      <c r="A143">
        <v>142</v>
      </c>
      <c r="B143">
        <v>80769</v>
      </c>
      <c r="C143" t="s">
        <v>916</v>
      </c>
      <c r="D143" t="s">
        <v>1874</v>
      </c>
      <c r="E143" t="str">
        <f>VLOOKUP(B143,'MASTER DATA SLT'!$C$4:$H$544,6,0)</f>
        <v>BUS</v>
      </c>
      <c r="F143" t="str">
        <f>VLOOKUP(B143,'MASTER DATA SLT'!$C$4:$F$544,4,0)</f>
        <v>2025-04-18</v>
      </c>
      <c r="G143">
        <f>VLOOKUP(B143,'MASTER DATA SLT'!$C$4:$P$544,14,0)</f>
        <v>0</v>
      </c>
      <c r="I143">
        <f>VLOOKUP(B143,'MASTER DATA SLT'!$C$4:$Q$544,15,0)</f>
        <v>0</v>
      </c>
      <c r="J143">
        <f>VLOOKUP(B143,'MASTER DATA SLT'!$C$4:$R$544,16,0)</f>
        <v>0</v>
      </c>
      <c r="K143">
        <f>VLOOKUP(B143,'MASTER DATA SLT'!$C$4:$S$544,17,0)</f>
        <v>0</v>
      </c>
      <c r="N143" t="str">
        <f>VLOOKUP(B143,'SALARY DETALES'!$B$2:$C$475,2,0)</f>
        <v>Forest</v>
      </c>
      <c r="O143" t="str">
        <f>VLOOKUP(B143,'SALARY DETALES'!$B$2:$D$475,3,0)</f>
        <v>B/W</v>
      </c>
      <c r="Q143" t="str">
        <f>VLOOKUP(B143,'MASTER DATA SLT'!$C$4:$F$544,4,0)</f>
        <v>2025-04-18</v>
      </c>
      <c r="R143">
        <f>VLOOKUP(B143,'MASTER DATA SLT'!$C$4:$G$544,5,0)</f>
        <v>0</v>
      </c>
      <c r="U143">
        <f>VLOOKUP(B143,'SALARY DETALES'!$B$2:$S$475,18,0)</f>
        <v>16000</v>
      </c>
    </row>
    <row r="144" spans="1:21" x14ac:dyDescent="0.3">
      <c r="A144">
        <v>143</v>
      </c>
      <c r="B144">
        <v>80770</v>
      </c>
      <c r="C144" t="s">
        <v>1972</v>
      </c>
      <c r="D144" t="s">
        <v>1846</v>
      </c>
      <c r="E144" t="str">
        <f>VLOOKUP(B144,'MASTER DATA SLT'!$C$4:$H$544,6,0)</f>
        <v>BUS</v>
      </c>
      <c r="F144" t="str">
        <f>VLOOKUP(B144,'MASTER DATA SLT'!$C$4:$F$544,4,0)</f>
        <v>2025-04-16</v>
      </c>
      <c r="G144">
        <f>VLOOKUP(B144,'MASTER DATA SLT'!$C$4:$P$544,14,0)</f>
        <v>0</v>
      </c>
      <c r="I144">
        <f>VLOOKUP(B144,'MASTER DATA SLT'!$C$4:$Q$544,15,0)</f>
        <v>0</v>
      </c>
      <c r="J144">
        <f>VLOOKUP(B144,'MASTER DATA SLT'!$C$4:$R$544,16,0)</f>
        <v>0</v>
      </c>
      <c r="K144">
        <f>VLOOKUP(B144,'MASTER DATA SLT'!$C$4:$S$544,17,0)</f>
        <v>0</v>
      </c>
      <c r="N144" t="str">
        <f>VLOOKUP(B144,'SALARY DETALES'!$B$2:$C$475,2,0)</f>
        <v>Forest</v>
      </c>
      <c r="O144" t="str">
        <f>VLOOKUP(B144,'SALARY DETALES'!$B$2:$D$475,3,0)</f>
        <v>OT</v>
      </c>
      <c r="Q144" t="str">
        <f>VLOOKUP(B144,'MASTER DATA SLT'!$C$4:$F$544,4,0)</f>
        <v>2025-04-16</v>
      </c>
      <c r="R144">
        <f>VLOOKUP(B144,'MASTER DATA SLT'!$C$4:$G$544,5,0)</f>
        <v>0</v>
      </c>
      <c r="U144">
        <f>VLOOKUP(B144,'SALARY DETALES'!$B$2:$S$475,18,0)</f>
        <v>20000</v>
      </c>
    </row>
    <row r="145" spans="1:21" x14ac:dyDescent="0.3">
      <c r="A145">
        <v>144</v>
      </c>
      <c r="B145">
        <v>80773</v>
      </c>
      <c r="C145" t="s">
        <v>916</v>
      </c>
      <c r="D145" t="s">
        <v>1954</v>
      </c>
      <c r="E145" t="str">
        <f>VLOOKUP(B145,'MASTER DATA SLT'!$C$4:$H$544,6,0)</f>
        <v>BUS</v>
      </c>
      <c r="F145" t="str">
        <f>VLOOKUP(B145,'MASTER DATA SLT'!$C$4:$F$544,4,0)</f>
        <v>2025-04-18</v>
      </c>
      <c r="G145">
        <f>VLOOKUP(B145,'MASTER DATA SLT'!$C$4:$P$544,14,0)</f>
        <v>0</v>
      </c>
      <c r="I145">
        <f>VLOOKUP(B145,'MASTER DATA SLT'!$C$4:$Q$544,15,0)</f>
        <v>0</v>
      </c>
      <c r="J145">
        <f>VLOOKUP(B145,'MASTER DATA SLT'!$C$4:$R$544,16,0)</f>
        <v>0</v>
      </c>
      <c r="K145">
        <f>VLOOKUP(B145,'MASTER DATA SLT'!$C$4:$S$544,17,0)</f>
        <v>0</v>
      </c>
      <c r="N145" t="str">
        <f>VLOOKUP(B145,'SALARY DETALES'!$B$2:$C$475,2,0)</f>
        <v>Forest</v>
      </c>
      <c r="O145" t="str">
        <f>VLOOKUP(B145,'SALARY DETALES'!$B$2:$D$475,3,0)</f>
        <v>B/W</v>
      </c>
      <c r="Q145" t="str">
        <f>VLOOKUP(B145,'MASTER DATA SLT'!$C$4:$F$544,4,0)</f>
        <v>2025-04-18</v>
      </c>
      <c r="R145">
        <f>VLOOKUP(B145,'MASTER DATA SLT'!$C$4:$G$544,5,0)</f>
        <v>0</v>
      </c>
      <c r="U145">
        <f>VLOOKUP(B145,'SALARY DETALES'!$B$2:$S$475,18,0)</f>
        <v>16000</v>
      </c>
    </row>
    <row r="146" spans="1:21" x14ac:dyDescent="0.3">
      <c r="A146">
        <v>145</v>
      </c>
      <c r="B146">
        <v>80774</v>
      </c>
      <c r="C146" t="s">
        <v>1973</v>
      </c>
      <c r="D146" t="s">
        <v>1883</v>
      </c>
      <c r="E146" t="str">
        <f>VLOOKUP(B146,'MASTER DATA SLT'!$C$4:$H$544,6,0)</f>
        <v>BUS</v>
      </c>
      <c r="F146" t="str">
        <f>VLOOKUP(B146,'MASTER DATA SLT'!$C$4:$F$544,4,0)</f>
        <v>2025-04-13</v>
      </c>
      <c r="G146">
        <f>VLOOKUP(B146,'MASTER DATA SLT'!$C$4:$P$544,14,0)</f>
        <v>0</v>
      </c>
      <c r="I146">
        <f>VLOOKUP(B146,'MASTER DATA SLT'!$C$4:$Q$544,15,0)</f>
        <v>0</v>
      </c>
      <c r="J146">
        <f>VLOOKUP(B146,'MASTER DATA SLT'!$C$4:$R$544,16,0)</f>
        <v>0</v>
      </c>
      <c r="K146">
        <f>VLOOKUP(B146,'MASTER DATA SLT'!$C$4:$S$544,17,0)</f>
        <v>0</v>
      </c>
      <c r="N146" t="str">
        <f>VLOOKUP(B146,'SALARY DETALES'!$B$2:$C$475,2,0)</f>
        <v>Forest</v>
      </c>
      <c r="O146" t="str">
        <f>VLOOKUP(B146,'SALARY DETALES'!$B$2:$D$475,3,0)</f>
        <v>B/W</v>
      </c>
      <c r="Q146" t="str">
        <f>VLOOKUP(B146,'MASTER DATA SLT'!$C$4:$F$544,4,0)</f>
        <v>2025-04-13</v>
      </c>
      <c r="R146">
        <f>VLOOKUP(B146,'MASTER DATA SLT'!$C$4:$G$544,5,0)</f>
        <v>0</v>
      </c>
      <c r="U146">
        <f>VLOOKUP(B146,'SALARY DETALES'!$B$2:$S$475,18,0)</f>
        <v>16000</v>
      </c>
    </row>
    <row r="147" spans="1:21" x14ac:dyDescent="0.3">
      <c r="A147">
        <v>146</v>
      </c>
      <c r="B147">
        <v>80789</v>
      </c>
      <c r="C147" t="s">
        <v>1845</v>
      </c>
      <c r="D147" t="s">
        <v>1974</v>
      </c>
      <c r="E147" t="str">
        <f>VLOOKUP(B147,'MASTER DATA SLT'!$C$4:$H$544,6,0)</f>
        <v>BUS</v>
      </c>
      <c r="F147" t="str">
        <f>VLOOKUP(B147,'MASTER DATA SLT'!$C$4:$F$544,4,0)</f>
        <v>2025-04-22</v>
      </c>
      <c r="G147">
        <f>VLOOKUP(B147,'MASTER DATA SLT'!$C$4:$P$544,14,0)</f>
        <v>0</v>
      </c>
      <c r="I147">
        <f>VLOOKUP(B147,'MASTER DATA SLT'!$C$4:$Q$544,15,0)</f>
        <v>0</v>
      </c>
      <c r="J147">
        <f>VLOOKUP(B147,'MASTER DATA SLT'!$C$4:$R$544,16,0)</f>
        <v>0</v>
      </c>
      <c r="K147">
        <f>VLOOKUP(B147,'MASTER DATA SLT'!$C$4:$S$544,17,0)</f>
        <v>0</v>
      </c>
      <c r="N147" t="str">
        <f>VLOOKUP(B147,'SALARY DETALES'!$B$2:$C$475,2,0)</f>
        <v>Forest</v>
      </c>
      <c r="O147" t="str">
        <f>VLOOKUP(B147,'SALARY DETALES'!$B$2:$D$475,3,0)</f>
        <v>B/W</v>
      </c>
      <c r="Q147" t="str">
        <f>VLOOKUP(B147,'MASTER DATA SLT'!$C$4:$F$544,4,0)</f>
        <v>2025-04-22</v>
      </c>
      <c r="R147">
        <f>VLOOKUP(B147,'MASTER DATA SLT'!$C$4:$G$544,5,0)</f>
        <v>0</v>
      </c>
      <c r="U147">
        <f>VLOOKUP(B147,'SALARY DETALES'!$B$2:$S$475,18,0)</f>
        <v>16000</v>
      </c>
    </row>
    <row r="148" spans="1:21" x14ac:dyDescent="0.3">
      <c r="A148">
        <v>147</v>
      </c>
      <c r="B148">
        <v>80793</v>
      </c>
      <c r="C148" t="s">
        <v>1975</v>
      </c>
      <c r="D148" t="s">
        <v>1846</v>
      </c>
      <c r="E148" t="str">
        <f>VLOOKUP(B148,'MASTER DATA SLT'!$C$4:$H$544,6,0)</f>
        <v>BUS</v>
      </c>
      <c r="F148" t="str">
        <f>VLOOKUP(B148,'MASTER DATA SLT'!$C$4:$F$544,4,0)</f>
        <v>2025-04-23</v>
      </c>
      <c r="G148">
        <f>VLOOKUP(B148,'MASTER DATA SLT'!$C$4:$P$544,14,0)</f>
        <v>0</v>
      </c>
      <c r="I148">
        <f>VLOOKUP(B148,'MASTER DATA SLT'!$C$4:$Q$544,15,0)</f>
        <v>0</v>
      </c>
      <c r="J148">
        <f>VLOOKUP(B148,'MASTER DATA SLT'!$C$4:$R$544,16,0)</f>
        <v>0</v>
      </c>
      <c r="K148">
        <f>VLOOKUP(B148,'MASTER DATA SLT'!$C$4:$S$544,17,0)</f>
        <v>0</v>
      </c>
      <c r="N148" t="str">
        <f>VLOOKUP(B148,'SALARY DETALES'!$B$2:$C$475,2,0)</f>
        <v>Forest</v>
      </c>
      <c r="O148" t="str">
        <f>VLOOKUP(B148,'SALARY DETALES'!$B$2:$D$475,3,0)</f>
        <v>B/W</v>
      </c>
      <c r="Q148" t="str">
        <f>VLOOKUP(B148,'MASTER DATA SLT'!$C$4:$F$544,4,0)</f>
        <v>2025-04-23</v>
      </c>
      <c r="R148">
        <f>VLOOKUP(B148,'MASTER DATA SLT'!$C$4:$G$544,5,0)</f>
        <v>0</v>
      </c>
      <c r="U148">
        <f>VLOOKUP(B148,'SALARY DETALES'!$B$2:$S$475,18,0)</f>
        <v>16000</v>
      </c>
    </row>
    <row r="149" spans="1:21" x14ac:dyDescent="0.3">
      <c r="A149">
        <v>148</v>
      </c>
      <c r="B149">
        <v>30219</v>
      </c>
      <c r="C149" t="s">
        <v>1976</v>
      </c>
      <c r="D149" t="s">
        <v>1917</v>
      </c>
      <c r="E149" t="str">
        <f>VLOOKUP(B149,'MASTER DATA SLT'!$C$4:$H$544,6,0)</f>
        <v>NO</v>
      </c>
      <c r="F149" t="str">
        <f>VLOOKUP(B149,'MASTER DATA SLT'!$C$4:$F$544,4,0)</f>
        <v>2024-11-27</v>
      </c>
      <c r="G149">
        <f>VLOOKUP(B149,'MASTER DATA SLT'!$C$4:$P$544,14,0)</f>
        <v>0</v>
      </c>
      <c r="I149" t="str">
        <f>VLOOKUP(B149,'MASTER DATA SLT'!$C$4:$Q$544,15,0)</f>
        <v>0370-9312761</v>
      </c>
      <c r="J149">
        <f>VLOOKUP(B149,'MASTER DATA SLT'!$C$4:$R$544,16,0)</f>
        <v>0</v>
      </c>
      <c r="K149">
        <f>VLOOKUP(B149,'MASTER DATA SLT'!$C$4:$S$544,17,0)</f>
        <v>0</v>
      </c>
      <c r="N149" t="str">
        <f>VLOOKUP(B149,'SALARY DETALES'!$B$2:$C$475,2,0)</f>
        <v>GRO</v>
      </c>
      <c r="O149" t="str">
        <f>VLOOKUP(B149,'SALARY DETALES'!$B$2:$D$475,3,0)</f>
        <v>GRO</v>
      </c>
      <c r="Q149" t="str">
        <f>VLOOKUP(B149,'MASTER DATA SLT'!$C$4:$F$544,4,0)</f>
        <v>2024-11-27</v>
      </c>
      <c r="R149">
        <f>VLOOKUP(B149,'MASTER DATA SLT'!$C$4:$G$544,5,0)</f>
        <v>405</v>
      </c>
      <c r="U149">
        <f>VLOOKUP(B149,'SALARY DETALES'!$B$2:$S$475,18,0)</f>
        <v>28000</v>
      </c>
    </row>
    <row r="150" spans="1:21" x14ac:dyDescent="0.3">
      <c r="A150">
        <v>149</v>
      </c>
      <c r="B150">
        <v>14077</v>
      </c>
      <c r="C150" t="s">
        <v>1977</v>
      </c>
      <c r="D150" t="s">
        <v>1842</v>
      </c>
      <c r="E150" t="str">
        <f>VLOOKUP(B150,'MASTER DATA SLT'!$C$4:$H$544,6,0)</f>
        <v>NO</v>
      </c>
      <c r="F150" t="str">
        <f>VLOOKUP(B150,'MASTER DATA SLT'!$C$4:$F$544,4,0)</f>
        <v>2024-06-10</v>
      </c>
      <c r="G150" t="str">
        <f>VLOOKUP(B150,'MASTER DATA SLT'!$C$4:$P$544,14,0)</f>
        <v>71501-2304348</v>
      </c>
      <c r="I150" t="str">
        <f>VLOOKUP(B150,'MASTER DATA SLT'!$C$4:$Q$544,15,0)</f>
        <v>0318-3690245</v>
      </c>
      <c r="J150">
        <f>VLOOKUP(B150,'MASTER DATA SLT'!$C$4:$R$544,16,0)</f>
        <v>0</v>
      </c>
      <c r="K150">
        <f>VLOOKUP(B150,'MASTER DATA SLT'!$C$4:$S$544,17,0)</f>
        <v>0</v>
      </c>
      <c r="N150" t="str">
        <f>VLOOKUP(B150,'SALARY DETALES'!$B$2:$C$475,2,0)</f>
        <v>GRO</v>
      </c>
      <c r="O150" t="str">
        <f>VLOOKUP(B150,'SALARY DETALES'!$B$2:$D$475,3,0)</f>
        <v>GRO</v>
      </c>
      <c r="Q150" t="str">
        <f>VLOOKUP(B150,'MASTER DATA SLT'!$C$4:$F$544,4,0)</f>
        <v>2024-06-10</v>
      </c>
      <c r="R150">
        <f>VLOOKUP(B150,'MASTER DATA SLT'!$C$4:$G$544,5,0)</f>
        <v>405</v>
      </c>
      <c r="U150">
        <f>VLOOKUP(B150,'SALARY DETALES'!$B$2:$S$475,18,0)</f>
        <v>28000</v>
      </c>
    </row>
    <row r="151" spans="1:21" x14ac:dyDescent="0.3">
      <c r="A151">
        <v>150</v>
      </c>
      <c r="B151">
        <v>80634</v>
      </c>
      <c r="C151" t="s">
        <v>1978</v>
      </c>
      <c r="D151" t="s">
        <v>1846</v>
      </c>
      <c r="E151" t="str">
        <f>VLOOKUP(B151,'MASTER DATA SLT'!$C$4:$H$544,6,0)</f>
        <v>NO</v>
      </c>
      <c r="F151" t="str">
        <f>VLOOKUP(B151,'MASTER DATA SLT'!$C$4:$F$544,4,0)</f>
        <v>2025-02-18</v>
      </c>
      <c r="G151">
        <f>VLOOKUP(B151,'MASTER DATA SLT'!$C$4:$P$544,14,0)</f>
        <v>0</v>
      </c>
      <c r="I151" t="str">
        <f>VLOOKUP(B151,'MASTER DATA SLT'!$C$4:$Q$544,15,0)</f>
        <v>0319-4062147</v>
      </c>
      <c r="J151">
        <f>VLOOKUP(B151,'MASTER DATA SLT'!$C$4:$R$544,16,0)</f>
        <v>0</v>
      </c>
      <c r="K151">
        <f>VLOOKUP(B151,'MASTER DATA SLT'!$C$4:$S$544,17,0)</f>
        <v>0</v>
      </c>
      <c r="N151" t="str">
        <f>VLOOKUP(B151,'SALARY DETALES'!$B$2:$C$475,2,0)</f>
        <v>GRO</v>
      </c>
      <c r="O151" t="str">
        <f>VLOOKUP(B151,'SALARY DETALES'!$B$2:$D$475,3,0)</f>
        <v>Gro</v>
      </c>
      <c r="Q151" t="str">
        <f>VLOOKUP(B151,'MASTER DATA SLT'!$C$4:$F$544,4,0)</f>
        <v>2025-02-18</v>
      </c>
      <c r="R151">
        <f>VLOOKUP(B151,'MASTER DATA SLT'!$C$4:$G$544,5,0)</f>
        <v>405</v>
      </c>
      <c r="U151">
        <f>VLOOKUP(B151,'SALARY DETALES'!$B$2:$S$475,18,0)</f>
        <v>28000</v>
      </c>
    </row>
    <row r="152" spans="1:21" x14ac:dyDescent="0.3">
      <c r="A152">
        <v>151</v>
      </c>
      <c r="B152">
        <v>80655</v>
      </c>
      <c r="C152" t="s">
        <v>342</v>
      </c>
      <c r="D152" t="s">
        <v>1901</v>
      </c>
      <c r="E152" t="str">
        <f>VLOOKUP(B152,'MASTER DATA SLT'!$C$4:$H$544,6,0)</f>
        <v>NO</v>
      </c>
      <c r="F152" t="str">
        <f>VLOOKUP(B152,'MASTER DATA SLT'!$C$4:$F$544,4,0)</f>
        <v>2025-02-26</v>
      </c>
      <c r="G152" t="str">
        <f>VLOOKUP(B152,'MASTER DATA SLT'!$C$4:$P$544,14,0)</f>
        <v>71501-3878184</v>
      </c>
      <c r="I152" t="str">
        <f>VLOOKUP(B152,'MASTER DATA SLT'!$C$4:$Q$544,15,0)</f>
        <v>03112796077</v>
      </c>
      <c r="J152">
        <f>VLOOKUP(B152,'MASTER DATA SLT'!$C$4:$R$544,16,0)</f>
        <v>0</v>
      </c>
      <c r="K152">
        <f>VLOOKUP(B152,'MASTER DATA SLT'!$C$4:$S$544,17,0)</f>
        <v>0</v>
      </c>
      <c r="N152" t="str">
        <f>VLOOKUP(B152,'SALARY DETALES'!$B$2:$C$475,2,0)</f>
        <v>GRO</v>
      </c>
      <c r="O152" t="str">
        <f>VLOOKUP(B152,'SALARY DETALES'!$B$2:$D$475,3,0)</f>
        <v>GRO</v>
      </c>
      <c r="Q152" t="str">
        <f>VLOOKUP(B152,'MASTER DATA SLT'!$C$4:$F$544,4,0)</f>
        <v>2025-02-26</v>
      </c>
      <c r="R152">
        <f>VLOOKUP(B152,'MASTER DATA SLT'!$C$4:$G$544,5,0)</f>
        <v>405</v>
      </c>
      <c r="U152">
        <f>VLOOKUP(B152,'SALARY DETALES'!$B$2:$S$475,18,0)</f>
        <v>28000</v>
      </c>
    </row>
    <row r="153" spans="1:21" x14ac:dyDescent="0.3">
      <c r="A153">
        <v>152</v>
      </c>
      <c r="B153">
        <v>23007</v>
      </c>
      <c r="C153" t="s">
        <v>1979</v>
      </c>
      <c r="D153" t="s">
        <v>1980</v>
      </c>
      <c r="E153" t="str">
        <f>VLOOKUP(B153,'MASTER DATA SLT'!$C$4:$H$544,6,0)</f>
        <v>NO</v>
      </c>
      <c r="F153" t="str">
        <f>VLOOKUP(B153,'MASTER DATA SLT'!$C$4:$F$544,4,0)</f>
        <v>2021-12-28</v>
      </c>
      <c r="G153" t="str">
        <f>VLOOKUP(B153,'MASTER DATA SLT'!$C$4:$P$544,14,0)</f>
        <v>33203-6848502</v>
      </c>
      <c r="I153">
        <f>VLOOKUP(B153,'MASTER DATA SLT'!$C$4:$Q$544,15,0)</f>
        <v>3004861806</v>
      </c>
      <c r="J153">
        <f>VLOOKUP(B153,'MASTER DATA SLT'!$C$4:$R$544,16,0)</f>
        <v>3182388671</v>
      </c>
      <c r="K153" t="str">
        <f>VLOOKUP(B153,'MASTER DATA SLT'!$C$4:$S$544,17,0)</f>
        <v>HOUSE NO:H-5/27 SRE MAJEED DALMIA KARACHI</v>
      </c>
      <c r="N153" t="str">
        <f>VLOOKUP(B153,'SALARY DETALES'!$B$2:$C$475,2,0)</f>
        <v>GRO</v>
      </c>
      <c r="O153" t="str">
        <f>VLOOKUP(B153,'SALARY DETALES'!$B$2:$D$475,3,0)</f>
        <v>GRO (RECEP)</v>
      </c>
      <c r="Q153" t="str">
        <f>VLOOKUP(B153,'MASTER DATA SLT'!$C$4:$F$544,4,0)</f>
        <v>2021-12-28</v>
      </c>
      <c r="R153">
        <f>VLOOKUP(B153,'MASTER DATA SLT'!$C$4:$G$544,5,0)</f>
        <v>465</v>
      </c>
      <c r="U153">
        <f>VLOOKUP(B153,'SALARY DETALES'!$B$2:$S$475,18,0)</f>
        <v>39551.599999999999</v>
      </c>
    </row>
    <row r="154" spans="1:21" x14ac:dyDescent="0.3">
      <c r="A154">
        <v>153</v>
      </c>
      <c r="B154">
        <v>14023</v>
      </c>
      <c r="C154" t="s">
        <v>1973</v>
      </c>
      <c r="D154" t="s">
        <v>1869</v>
      </c>
      <c r="E154" t="str">
        <f>VLOOKUP(B154,'MASTER DATA SLT'!$C$4:$H$544,6,0)</f>
        <v>NO</v>
      </c>
      <c r="F154" t="str">
        <f>VLOOKUP(B154,'MASTER DATA SLT'!$C$4:$F$544,4,0)</f>
        <v>2021-12-21</v>
      </c>
      <c r="G154" t="str">
        <f>VLOOKUP(B154,'MASTER DATA SLT'!$C$4:$P$544,14,0)</f>
        <v>42501-6968456</v>
      </c>
      <c r="I154">
        <f>VLOOKUP(B154,'MASTER DATA SLT'!$C$4:$Q$544,15,0)</f>
        <v>3144460454</v>
      </c>
      <c r="J154">
        <f>VLOOKUP(B154,'MASTER DATA SLT'!$C$4:$R$544,16,0)</f>
        <v>0</v>
      </c>
      <c r="K154" t="str">
        <f>VLOOKUP(B154,'MASTER DATA SLT'!$C$4:$S$544,17,0)</f>
        <v>HAZARA GOTH KARACHI</v>
      </c>
      <c r="N154" t="str">
        <f>VLOOKUP(B154,'SALARY DETALES'!$B$2:$C$475,2,0)</f>
        <v>GRO</v>
      </c>
      <c r="O154" t="str">
        <f>VLOOKUP(B154,'SALARY DETALES'!$B$2:$D$475,3,0)</f>
        <v>GRO</v>
      </c>
      <c r="Q154" t="str">
        <f>VLOOKUP(B154,'MASTER DATA SLT'!$C$4:$F$544,4,0)</f>
        <v>2021-12-21</v>
      </c>
      <c r="R154">
        <f>VLOOKUP(B154,'MASTER DATA SLT'!$C$4:$G$544,5,0)</f>
        <v>405</v>
      </c>
      <c r="U154">
        <f>VLOOKUP(B154,'SALARY DETALES'!$B$2:$S$475,18,0)</f>
        <v>32600</v>
      </c>
    </row>
    <row r="155" spans="1:21" x14ac:dyDescent="0.3">
      <c r="A155">
        <v>154</v>
      </c>
      <c r="B155">
        <v>29135</v>
      </c>
      <c r="C155" t="s">
        <v>1918</v>
      </c>
      <c r="D155" t="s">
        <v>1981</v>
      </c>
      <c r="E155" t="str">
        <f>VLOOKUP(B155,'MASTER DATA SLT'!$C$4:$H$544,6,0)</f>
        <v>NO</v>
      </c>
      <c r="F155" t="str">
        <f>VLOOKUP(B155,'MASTER DATA SLT'!$C$4:$F$544,4,0)</f>
        <v>2022-06-27</v>
      </c>
      <c r="G155">
        <f>VLOOKUP(B155,'MASTER DATA SLT'!$C$4:$P$544,14,0)</f>
        <v>0</v>
      </c>
      <c r="I155">
        <f>VLOOKUP(B155,'MASTER DATA SLT'!$C$4:$Q$544,15,0)</f>
        <v>0</v>
      </c>
      <c r="J155">
        <f>VLOOKUP(B155,'MASTER DATA SLT'!$C$4:$R$544,16,0)</f>
        <v>0</v>
      </c>
      <c r="K155">
        <f>VLOOKUP(B155,'MASTER DATA SLT'!$C$4:$S$544,17,0)</f>
        <v>0</v>
      </c>
      <c r="N155" t="str">
        <f>VLOOKUP(B155,'SALARY DETALES'!$B$2:$C$475,2,0)</f>
        <v>GRO</v>
      </c>
      <c r="O155" t="str">
        <f>VLOOKUP(B155,'SALARY DETALES'!$B$2:$D$475,3,0)</f>
        <v>WHEEL CHAIR</v>
      </c>
      <c r="Q155" t="str">
        <f>VLOOKUP(B155,'MASTER DATA SLT'!$C$4:$F$544,4,0)</f>
        <v>2022-06-27</v>
      </c>
      <c r="R155">
        <f>VLOOKUP(B155,'MASTER DATA SLT'!$C$4:$G$544,5,0)</f>
        <v>405</v>
      </c>
      <c r="U155">
        <f>VLOOKUP(B155,'SALARY DETALES'!$B$2:$S$475,18,0)</f>
        <v>24000</v>
      </c>
    </row>
    <row r="156" spans="1:21" x14ac:dyDescent="0.3">
      <c r="A156">
        <v>155</v>
      </c>
      <c r="B156">
        <v>32138</v>
      </c>
      <c r="C156" t="s">
        <v>1982</v>
      </c>
      <c r="D156" t="s">
        <v>1983</v>
      </c>
      <c r="E156" t="str">
        <f>VLOOKUP(B156,'MASTER DATA SLT'!$C$4:$H$544,6,0)</f>
        <v>NO</v>
      </c>
      <c r="F156" t="str">
        <f>VLOOKUP(B156,'MASTER DATA SLT'!$C$4:$F$544,4,0)</f>
        <v>2024-01-22</v>
      </c>
      <c r="G156" t="str">
        <f>VLOOKUP(B156,'MASTER DATA SLT'!$C$4:$P$544,14,0)</f>
        <v>7160-10616471</v>
      </c>
      <c r="I156" t="str">
        <f>VLOOKUP(B156,'MASTER DATA SLT'!$C$4:$Q$544,15,0)</f>
        <v>03175527681</v>
      </c>
      <c r="J156">
        <f>VLOOKUP(B156,'MASTER DATA SLT'!$C$4:$R$544,16,0)</f>
        <v>0</v>
      </c>
      <c r="K156">
        <f>VLOOKUP(B156,'MASTER DATA SLT'!$C$4:$S$544,17,0)</f>
        <v>0</v>
      </c>
      <c r="N156" t="str">
        <f>VLOOKUP(B156,'SALARY DETALES'!$B$2:$C$475,2,0)</f>
        <v>GRO</v>
      </c>
      <c r="O156" t="str">
        <f>VLOOKUP(B156,'SALARY DETALES'!$B$2:$D$475,3,0)</f>
        <v>GRO</v>
      </c>
      <c r="Q156" t="str">
        <f>VLOOKUP(B156,'MASTER DATA SLT'!$C$4:$F$544,4,0)</f>
        <v>2024-01-22</v>
      </c>
      <c r="R156">
        <f>VLOOKUP(B156,'MASTER DATA SLT'!$C$4:$G$544,5,0)</f>
        <v>405</v>
      </c>
      <c r="U156">
        <f>VLOOKUP(B156,'SALARY DETALES'!$B$2:$S$475,18,0)</f>
        <v>28000</v>
      </c>
    </row>
    <row r="157" spans="1:21" x14ac:dyDescent="0.3">
      <c r="A157">
        <v>156</v>
      </c>
      <c r="B157">
        <v>14074</v>
      </c>
      <c r="C157" t="s">
        <v>298</v>
      </c>
      <c r="D157" t="s">
        <v>2137</v>
      </c>
      <c r="E157" t="str">
        <f>VLOOKUP(B157,'MASTER DATA SLT'!$C$4:$H$544,6,0)</f>
        <v>NO</v>
      </c>
      <c r="F157" t="str">
        <f>VLOOKUP(B157,'MASTER DATA SLT'!$C$4:$F$544,4,0)</f>
        <v>2025-01-22</v>
      </c>
      <c r="G157" t="str">
        <f>VLOOKUP(B157,'MASTER DATA SLT'!$C$4:$P$544,14,0)</f>
        <v>45203-2353019</v>
      </c>
      <c r="I157" t="str">
        <f>VLOOKUP(B157,'MASTER DATA SLT'!$C$4:$Q$544,15,0)</f>
        <v>0300-3139758</v>
      </c>
      <c r="J157">
        <f>VLOOKUP(B157,'MASTER DATA SLT'!$C$4:$R$544,16,0)</f>
        <v>0</v>
      </c>
      <c r="K157">
        <f>VLOOKUP(B157,'MASTER DATA SLT'!$C$4:$S$544,17,0)</f>
        <v>0</v>
      </c>
      <c r="N157" t="str">
        <f>VLOOKUP(B157,'SALARY DETALES'!$B$2:$C$475,2,0)</f>
        <v>GRO</v>
      </c>
      <c r="O157" t="str">
        <f>VLOOKUP(B157,'SALARY DETALES'!$B$2:$D$475,3,0)</f>
        <v>GRO</v>
      </c>
      <c r="Q157" t="str">
        <f>VLOOKUP(B157,'MASTER DATA SLT'!$C$4:$F$544,4,0)</f>
        <v>2025-01-22</v>
      </c>
      <c r="R157">
        <f>VLOOKUP(B157,'MASTER DATA SLT'!$C$4:$G$544,5,0)</f>
        <v>60</v>
      </c>
      <c r="U157">
        <f>VLOOKUP(B157,'SALARY DETALES'!$B$2:$S$475,18,0)</f>
        <v>28000</v>
      </c>
    </row>
    <row r="158" spans="1:21" x14ac:dyDescent="0.3">
      <c r="A158">
        <v>157</v>
      </c>
      <c r="B158">
        <v>33036</v>
      </c>
      <c r="C158" t="s">
        <v>1869</v>
      </c>
      <c r="D158" t="s">
        <v>1939</v>
      </c>
      <c r="E158" t="str">
        <f>VLOOKUP(B158,'MASTER DATA SLT'!$C$4:$H$544,6,0)</f>
        <v>NO</v>
      </c>
      <c r="F158" t="str">
        <f>VLOOKUP(B158,'MASTER DATA SLT'!$C$4:$F$544,4,0)</f>
        <v>2024-08-05</v>
      </c>
      <c r="G158">
        <f>VLOOKUP(B158,'MASTER DATA SLT'!$C$4:$P$544,14,0)</f>
        <v>0</v>
      </c>
      <c r="I158">
        <f>VLOOKUP(B158,'MASTER DATA SLT'!$C$4:$Q$544,15,0)</f>
        <v>0</v>
      </c>
      <c r="J158">
        <f>VLOOKUP(B158,'MASTER DATA SLT'!$C$4:$R$544,16,0)</f>
        <v>0</v>
      </c>
      <c r="K158">
        <f>VLOOKUP(B158,'MASTER DATA SLT'!$C$4:$S$544,17,0)</f>
        <v>0</v>
      </c>
      <c r="N158" t="str">
        <f>VLOOKUP(B158,'SALARY DETALES'!$B$2:$C$475,2,0)</f>
        <v>GRO</v>
      </c>
      <c r="O158" t="str">
        <f>VLOOKUP(B158,'SALARY DETALES'!$B$2:$D$475,3,0)</f>
        <v>GRO</v>
      </c>
      <c r="Q158" t="str">
        <f>VLOOKUP(B158,'MASTER DATA SLT'!$C$4:$F$544,4,0)</f>
        <v>2024-08-05</v>
      </c>
      <c r="R158">
        <f>VLOOKUP(B158,'MASTER DATA SLT'!$C$4:$G$544,5,0)</f>
        <v>405</v>
      </c>
      <c r="U158">
        <f>VLOOKUP(B158,'SALARY DETALES'!$B$2:$S$475,18,0)</f>
        <v>28000</v>
      </c>
    </row>
    <row r="159" spans="1:21" x14ac:dyDescent="0.3">
      <c r="A159">
        <v>158</v>
      </c>
      <c r="B159">
        <v>80440</v>
      </c>
      <c r="C159" t="s">
        <v>1984</v>
      </c>
      <c r="D159" t="s">
        <v>2153</v>
      </c>
      <c r="E159" t="str">
        <f>VLOOKUP(B159,'MASTER DATA SLT'!$C$4:$H$544,6,0)</f>
        <v>NO</v>
      </c>
      <c r="F159" t="str">
        <f>VLOOKUP(B159,'MASTER DATA SLT'!$C$4:$F$544,4,0)</f>
        <v>2024-10-14</v>
      </c>
      <c r="G159" t="str">
        <f>VLOOKUP(B159,'MASTER DATA SLT'!$C$4:$P$544,14,0)</f>
        <v>422301-397236</v>
      </c>
      <c r="I159" t="str">
        <f>VLOOKUP(B159,'MASTER DATA SLT'!$C$4:$Q$544,15,0)</f>
        <v>0316-2684969</v>
      </c>
      <c r="J159">
        <f>VLOOKUP(B159,'MASTER DATA SLT'!$C$4:$R$544,16,0)</f>
        <v>0</v>
      </c>
      <c r="K159">
        <f>VLOOKUP(B159,'MASTER DATA SLT'!$C$4:$S$544,17,0)</f>
        <v>0</v>
      </c>
      <c r="N159" t="str">
        <f>VLOOKUP(B159,'SALARY DETALES'!$B$2:$C$475,2,0)</f>
        <v>GRO</v>
      </c>
      <c r="O159" t="str">
        <f>VLOOKUP(B159,'SALARY DETALES'!$B$2:$D$475,3,0)</f>
        <v>Gro</v>
      </c>
      <c r="Q159" t="str">
        <f>VLOOKUP(B159,'MASTER DATA SLT'!$C$4:$F$544,4,0)</f>
        <v>2024-10-14</v>
      </c>
      <c r="R159">
        <f>VLOOKUP(B159,'MASTER DATA SLT'!$C$4:$G$544,5,0)</f>
        <v>405</v>
      </c>
      <c r="U159">
        <f>VLOOKUP(B159,'SALARY DETALES'!$B$2:$S$475,18,0)</f>
        <v>28000</v>
      </c>
    </row>
    <row r="160" spans="1:21" x14ac:dyDescent="0.3">
      <c r="A160">
        <v>159</v>
      </c>
      <c r="B160">
        <v>80491</v>
      </c>
      <c r="C160" t="s">
        <v>1985</v>
      </c>
      <c r="D160" t="s">
        <v>1874</v>
      </c>
      <c r="E160" t="str">
        <f>VLOOKUP(B160,'MASTER DATA SLT'!$C$4:$H$544,6,0)</f>
        <v>NO</v>
      </c>
      <c r="F160" t="str">
        <f>VLOOKUP(B160,'MASTER DATA SLT'!$C$4:$F$544,4,0)</f>
        <v>2024-11-16</v>
      </c>
      <c r="G160" t="str">
        <f>VLOOKUP(B160,'MASTER DATA SLT'!$C$4:$P$544,14,0)</f>
        <v>71602-0351737</v>
      </c>
      <c r="I160" t="str">
        <f>VLOOKUP(B160,'MASTER DATA SLT'!$C$4:$Q$544,15,0)</f>
        <v>0355-2846250</v>
      </c>
      <c r="J160">
        <f>VLOOKUP(B160,'MASTER DATA SLT'!$C$4:$R$544,16,0)</f>
        <v>0</v>
      </c>
      <c r="K160">
        <f>VLOOKUP(B160,'MASTER DATA SLT'!$C$4:$S$544,17,0)</f>
        <v>0</v>
      </c>
      <c r="N160" t="str">
        <f>VLOOKUP(B160,'SALARY DETALES'!$B$2:$C$475,2,0)</f>
        <v>GRO</v>
      </c>
      <c r="O160" t="str">
        <f>VLOOKUP(B160,'SALARY DETALES'!$B$2:$D$475,3,0)</f>
        <v>GRO</v>
      </c>
      <c r="Q160" t="str">
        <f>VLOOKUP(B160,'MASTER DATA SLT'!$C$4:$F$544,4,0)</f>
        <v>2024-11-16</v>
      </c>
      <c r="R160">
        <f>VLOOKUP(B160,'MASTER DATA SLT'!$C$4:$G$544,5,0)</f>
        <v>495</v>
      </c>
      <c r="U160">
        <f>VLOOKUP(B160,'SALARY DETALES'!$B$2:$S$475,18,0)</f>
        <v>28000</v>
      </c>
    </row>
    <row r="161" spans="1:21" x14ac:dyDescent="0.3">
      <c r="A161">
        <v>160</v>
      </c>
      <c r="B161">
        <v>80602</v>
      </c>
      <c r="C161" t="s">
        <v>1986</v>
      </c>
      <c r="D161" t="s">
        <v>1976</v>
      </c>
      <c r="E161" t="str">
        <f>VLOOKUP(B161,'MASTER DATA SLT'!$C$4:$H$544,6,0)</f>
        <v>NO</v>
      </c>
      <c r="F161" t="str">
        <f>VLOOKUP(B161,'MASTER DATA SLT'!$C$4:$F$544,4,0)</f>
        <v>2025-01-17</v>
      </c>
      <c r="G161" t="str">
        <f>VLOOKUP(B161,'MASTER DATA SLT'!$C$4:$P$544,14,0)</f>
        <v>42201-1658389</v>
      </c>
      <c r="I161" t="str">
        <f>VLOOKUP(B161,'MASTER DATA SLT'!$C$4:$Q$544,15,0)</f>
        <v>0330-3121473</v>
      </c>
      <c r="J161">
        <f>VLOOKUP(B161,'MASTER DATA SLT'!$C$4:$R$544,16,0)</f>
        <v>0</v>
      </c>
      <c r="K161">
        <f>VLOOKUP(B161,'MASTER DATA SLT'!$C$4:$S$544,17,0)</f>
        <v>0</v>
      </c>
      <c r="N161" t="str">
        <f>VLOOKUP(B161,'SALARY DETALES'!$B$2:$C$475,2,0)</f>
        <v>GRO</v>
      </c>
      <c r="O161" t="str">
        <f>VLOOKUP(B161,'SALARY DETALES'!$B$2:$D$475,3,0)</f>
        <v>Gro</v>
      </c>
      <c r="Q161" t="str">
        <f>VLOOKUP(B161,'MASTER DATA SLT'!$C$4:$F$544,4,0)</f>
        <v>2025-01-17</v>
      </c>
      <c r="R161">
        <f>VLOOKUP(B161,'MASTER DATA SLT'!$C$4:$G$544,5,0)</f>
        <v>405</v>
      </c>
      <c r="U161">
        <f>VLOOKUP(B161,'SALARY DETALES'!$B$2:$S$475,18,0)</f>
        <v>28000</v>
      </c>
    </row>
    <row r="162" spans="1:21" x14ac:dyDescent="0.3">
      <c r="A162">
        <v>161</v>
      </c>
      <c r="B162">
        <v>80628</v>
      </c>
      <c r="C162" t="s">
        <v>1963</v>
      </c>
      <c r="D162" t="s">
        <v>1987</v>
      </c>
      <c r="E162" t="str">
        <f>VLOOKUP(B162,'MASTER DATA SLT'!$C$4:$H$544,6,0)</f>
        <v>NO</v>
      </c>
      <c r="F162" t="str">
        <f>VLOOKUP(B162,'MASTER DATA SLT'!$C$4:$F$544,4,0)</f>
        <v>2025-02-12</v>
      </c>
      <c r="G162" t="str">
        <f>VLOOKUP(B162,'MASTER DATA SLT'!$C$4:$P$544,14,0)</f>
        <v>43102-7751927</v>
      </c>
      <c r="I162" t="str">
        <f>VLOOKUP(B162,'MASTER DATA SLT'!$C$4:$Q$544,15,0)</f>
        <v>0314-2010289</v>
      </c>
      <c r="J162">
        <f>VLOOKUP(B162,'MASTER DATA SLT'!$C$4:$R$544,16,0)</f>
        <v>0</v>
      </c>
      <c r="K162">
        <f>VLOOKUP(B162,'MASTER DATA SLT'!$C$4:$S$544,17,0)</f>
        <v>0</v>
      </c>
      <c r="N162" t="str">
        <f>VLOOKUP(B162,'SALARY DETALES'!$B$2:$C$475,2,0)</f>
        <v>GRO</v>
      </c>
      <c r="O162" t="str">
        <f>VLOOKUP(B162,'SALARY DETALES'!$B$2:$D$475,3,0)</f>
        <v>GRO</v>
      </c>
      <c r="Q162" t="str">
        <f>VLOOKUP(B162,'MASTER DATA SLT'!$C$4:$F$544,4,0)</f>
        <v>2025-02-12</v>
      </c>
      <c r="R162">
        <f>VLOOKUP(B162,'MASTER DATA SLT'!$C$4:$G$544,5,0)</f>
        <v>405</v>
      </c>
      <c r="U162">
        <f>VLOOKUP(B162,'SALARY DETALES'!$B$2:$S$475,18,0)</f>
        <v>28000</v>
      </c>
    </row>
    <row r="163" spans="1:21" x14ac:dyDescent="0.3">
      <c r="A163">
        <v>162</v>
      </c>
      <c r="B163">
        <v>80650</v>
      </c>
      <c r="C163" t="s">
        <v>549</v>
      </c>
      <c r="D163" t="s">
        <v>1988</v>
      </c>
      <c r="E163" t="str">
        <f>VLOOKUP(B163,'MASTER DATA SLT'!$C$4:$H$544,6,0)</f>
        <v>NO</v>
      </c>
      <c r="F163" t="str">
        <f>VLOOKUP(B163,'MASTER DATA SLT'!$C$4:$F$544,4,0)</f>
        <v>2025-02-21</v>
      </c>
      <c r="G163">
        <f>VLOOKUP(B163,'MASTER DATA SLT'!$C$4:$P$544,14,0)</f>
        <v>0</v>
      </c>
      <c r="I163">
        <f>VLOOKUP(B163,'MASTER DATA SLT'!$C$4:$Q$544,15,0)</f>
        <v>0</v>
      </c>
      <c r="J163">
        <f>VLOOKUP(B163,'MASTER DATA SLT'!$C$4:$R$544,16,0)</f>
        <v>0</v>
      </c>
      <c r="K163">
        <f>VLOOKUP(B163,'MASTER DATA SLT'!$C$4:$S$544,17,0)</f>
        <v>0</v>
      </c>
      <c r="N163" t="str">
        <f>VLOOKUP(B163,'SALARY DETALES'!$B$2:$C$475,2,0)</f>
        <v>GRO</v>
      </c>
      <c r="O163" t="str">
        <f>VLOOKUP(B163,'SALARY DETALES'!$B$2:$D$475,3,0)</f>
        <v>Gro</v>
      </c>
      <c r="Q163" t="str">
        <f>VLOOKUP(B163,'MASTER DATA SLT'!$C$4:$F$544,4,0)</f>
        <v>2025-02-21</v>
      </c>
      <c r="R163">
        <f>VLOOKUP(B163,'MASTER DATA SLT'!$C$4:$G$544,5,0)</f>
        <v>405</v>
      </c>
      <c r="U163">
        <f>VLOOKUP(B163,'SALARY DETALES'!$B$2:$S$475,18,0)</f>
        <v>28000</v>
      </c>
    </row>
    <row r="164" spans="1:21" x14ac:dyDescent="0.3">
      <c r="A164">
        <v>163</v>
      </c>
      <c r="B164">
        <v>80654</v>
      </c>
      <c r="C164" t="s">
        <v>1989</v>
      </c>
      <c r="D164" t="s">
        <v>1869</v>
      </c>
      <c r="E164" t="str">
        <f>VLOOKUP(B164,'MASTER DATA SLT'!$C$4:$H$544,6,0)</f>
        <v>NO</v>
      </c>
      <c r="F164" t="str">
        <f>VLOOKUP(B164,'MASTER DATA SLT'!$C$4:$F$544,4,0)</f>
        <v>2025-02-26</v>
      </c>
      <c r="G164" t="str">
        <f>VLOOKUP(B164,'MASTER DATA SLT'!$C$4:$P$544,14,0)</f>
        <v>42201-1228859</v>
      </c>
      <c r="I164">
        <f>VLOOKUP(B164,'MASTER DATA SLT'!$C$4:$Q$544,15,0)</f>
        <v>0</v>
      </c>
      <c r="J164">
        <f>VLOOKUP(B164,'MASTER DATA SLT'!$C$4:$R$544,16,0)</f>
        <v>0</v>
      </c>
      <c r="K164">
        <f>VLOOKUP(B164,'MASTER DATA SLT'!$C$4:$S$544,17,0)</f>
        <v>0</v>
      </c>
      <c r="N164" t="str">
        <f>VLOOKUP(B164,'SALARY DETALES'!$B$2:$C$475,2,0)</f>
        <v>GRO</v>
      </c>
      <c r="O164" t="str">
        <f>VLOOKUP(B164,'SALARY DETALES'!$B$2:$D$475,3,0)</f>
        <v>GRO</v>
      </c>
      <c r="Q164" t="str">
        <f>VLOOKUP(B164,'MASTER DATA SLT'!$C$4:$F$544,4,0)</f>
        <v>2025-02-26</v>
      </c>
      <c r="R164">
        <f>VLOOKUP(B164,'MASTER DATA SLT'!$C$4:$G$544,5,0)</f>
        <v>405</v>
      </c>
      <c r="U164">
        <f>VLOOKUP(B164,'SALARY DETALES'!$B$2:$S$475,18,0)</f>
        <v>28000</v>
      </c>
    </row>
    <row r="165" spans="1:21" x14ac:dyDescent="0.3">
      <c r="A165">
        <v>164</v>
      </c>
      <c r="B165">
        <v>80712</v>
      </c>
      <c r="C165" t="s">
        <v>1867</v>
      </c>
      <c r="D165" t="s">
        <v>2154</v>
      </c>
      <c r="E165" t="str">
        <f>VLOOKUP(B165,'MASTER DATA SLT'!$C$4:$H$544,6,0)</f>
        <v>NO</v>
      </c>
      <c r="F165" t="str">
        <f>VLOOKUP(B165,'MASTER DATA SLT'!$C$4:$F$544,4,0)</f>
        <v>2025-03-17</v>
      </c>
      <c r="G165">
        <f>VLOOKUP(B165,'MASTER DATA SLT'!$C$4:$P$544,14,0)</f>
        <v>0</v>
      </c>
      <c r="I165" t="str">
        <f>VLOOKUP(B165,'MASTER DATA SLT'!$C$4:$Q$544,15,0)</f>
        <v>0347-2025141</v>
      </c>
      <c r="J165">
        <f>VLOOKUP(B165,'MASTER DATA SLT'!$C$4:$R$544,16,0)</f>
        <v>0</v>
      </c>
      <c r="K165">
        <f>VLOOKUP(B165,'MASTER DATA SLT'!$C$4:$S$544,17,0)</f>
        <v>0</v>
      </c>
      <c r="N165" t="str">
        <f>VLOOKUP(B165,'SALARY DETALES'!$B$2:$C$475,2,0)</f>
        <v>GRO</v>
      </c>
      <c r="O165" t="str">
        <f>VLOOKUP(B165,'SALARY DETALES'!$B$2:$D$475,3,0)</f>
        <v>RECEPTION</v>
      </c>
      <c r="Q165" t="str">
        <f>VLOOKUP(B165,'MASTER DATA SLT'!$C$4:$F$544,4,0)</f>
        <v>2025-03-17</v>
      </c>
      <c r="R165">
        <f>VLOOKUP(B165,'MASTER DATA SLT'!$C$4:$G$544,5,0)</f>
        <v>345</v>
      </c>
      <c r="U165">
        <f>VLOOKUP(B165,'SALARY DETALES'!$B$2:$S$475,18,0)</f>
        <v>25000</v>
      </c>
    </row>
    <row r="166" spans="1:21" x14ac:dyDescent="0.3">
      <c r="A166">
        <v>165</v>
      </c>
      <c r="B166">
        <v>80752</v>
      </c>
      <c r="C166" t="s">
        <v>308</v>
      </c>
      <c r="D166" t="s">
        <v>2137</v>
      </c>
      <c r="E166" t="str">
        <f>VLOOKUP(B166,'MASTER DATA SLT'!$C$4:$H$544,6,0)</f>
        <v>NO</v>
      </c>
      <c r="F166" t="str">
        <f>VLOOKUP(B166,'MASTER DATA SLT'!$C$4:$F$544,4,0)</f>
        <v>2025-03-29</v>
      </c>
      <c r="G166" t="str">
        <f>VLOOKUP(B166,'MASTER DATA SLT'!$C$4:$P$544,14,0)</f>
        <v>42201-4369277</v>
      </c>
      <c r="I166" t="str">
        <f>VLOOKUP(B166,'MASTER DATA SLT'!$C$4:$Q$544,15,0)</f>
        <v>03341714599</v>
      </c>
      <c r="J166" t="str">
        <f>VLOOKUP(B166,'MASTER DATA SLT'!$C$4:$R$544,16,0)</f>
        <v>03232398499</v>
      </c>
      <c r="K166">
        <f>VLOOKUP(B166,'MASTER DATA SLT'!$C$4:$S$544,17,0)</f>
        <v>0</v>
      </c>
      <c r="N166" t="str">
        <f>VLOOKUP(B166,'SALARY DETALES'!$B$2:$C$475,2,0)</f>
        <v>GRO</v>
      </c>
      <c r="O166" t="str">
        <f>VLOOKUP(B166,'SALARY DETALES'!$B$2:$D$475,3,0)</f>
        <v>GRO</v>
      </c>
      <c r="Q166" t="str">
        <f>VLOOKUP(B166,'MASTER DATA SLT'!$C$4:$F$544,4,0)</f>
        <v>2025-03-29</v>
      </c>
      <c r="R166">
        <f>VLOOKUP(B166,'MASTER DATA SLT'!$C$4:$G$544,5,0)</f>
        <v>405</v>
      </c>
      <c r="U166">
        <f>VLOOKUP(B166,'SALARY DETALES'!$B$2:$S$475,18,0)</f>
        <v>28000</v>
      </c>
    </row>
    <row r="167" spans="1:21" x14ac:dyDescent="0.3">
      <c r="A167">
        <v>166</v>
      </c>
      <c r="B167">
        <v>80760</v>
      </c>
      <c r="C167" t="s">
        <v>1990</v>
      </c>
      <c r="D167" t="s">
        <v>1991</v>
      </c>
      <c r="E167" t="str">
        <f>VLOOKUP(B167,'MASTER DATA SLT'!$C$4:$H$544,6,0)</f>
        <v>NO</v>
      </c>
      <c r="F167" t="str">
        <f>VLOOKUP(B167,'MASTER DATA SLT'!$C$4:$F$544,4,0)</f>
        <v>2025-04-11</v>
      </c>
      <c r="G167">
        <f>VLOOKUP(B167,'MASTER DATA SLT'!$C$4:$P$544,14,0)</f>
        <v>0</v>
      </c>
      <c r="I167">
        <f>VLOOKUP(B167,'MASTER DATA SLT'!$C$4:$Q$544,15,0)</f>
        <v>0</v>
      </c>
      <c r="J167">
        <f>VLOOKUP(B167,'MASTER DATA SLT'!$C$4:$R$544,16,0)</f>
        <v>0</v>
      </c>
      <c r="K167">
        <f>VLOOKUP(B167,'MASTER DATA SLT'!$C$4:$S$544,17,0)</f>
        <v>0</v>
      </c>
      <c r="N167" t="str">
        <f>VLOOKUP(B167,'SALARY DETALES'!$B$2:$C$475,2,0)</f>
        <v>GRO</v>
      </c>
      <c r="O167" t="str">
        <f>VLOOKUP(B167,'SALARY DETALES'!$B$2:$D$475,3,0)</f>
        <v>Gro</v>
      </c>
      <c r="Q167" t="str">
        <f>VLOOKUP(B167,'MASTER DATA SLT'!$C$4:$F$544,4,0)</f>
        <v>2025-04-11</v>
      </c>
      <c r="R167">
        <f>VLOOKUP(B167,'MASTER DATA SLT'!$C$4:$G$544,5,0)</f>
        <v>405</v>
      </c>
      <c r="U167">
        <f>VLOOKUP(B167,'SALARY DETALES'!$B$2:$S$475,18,0)</f>
        <v>25000</v>
      </c>
    </row>
    <row r="168" spans="1:21" x14ac:dyDescent="0.3">
      <c r="A168">
        <v>167</v>
      </c>
      <c r="B168">
        <v>15012</v>
      </c>
      <c r="C168" t="s">
        <v>312</v>
      </c>
      <c r="D168" t="s">
        <v>2137</v>
      </c>
      <c r="E168" t="str">
        <f>VLOOKUP(B168,'MASTER DATA SLT'!$C$4:$H$544,6,0)</f>
        <v>BUS</v>
      </c>
      <c r="F168" t="str">
        <f>VLOOKUP(B168,'MASTER DATA SLT'!$C$4:$F$544,4,0)</f>
        <v>2023-04-23</v>
      </c>
      <c r="G168" t="str">
        <f>VLOOKUP(B168,'MASTER DATA SLT'!$C$4:$P$544,14,0)</f>
        <v>42604-0434625</v>
      </c>
      <c r="I168">
        <f>VLOOKUP(B168,'MASTER DATA SLT'!$C$4:$Q$544,15,0)</f>
        <v>0</v>
      </c>
      <c r="J168">
        <f>VLOOKUP(B168,'MASTER DATA SLT'!$C$4:$R$544,16,0)</f>
        <v>0</v>
      </c>
      <c r="K168">
        <f>VLOOKUP(B168,'MASTER DATA SLT'!$C$4:$S$544,17,0)</f>
        <v>0</v>
      </c>
      <c r="N168" t="str">
        <f>VLOOKUP(B168,'SALARY DETALES'!$B$2:$C$475,2,0)</f>
        <v>HANDI</v>
      </c>
      <c r="O168" t="str">
        <f>VLOOKUP(B168,'SALARY DETALES'!$B$2:$D$475,3,0)</f>
        <v>Handi Helper</v>
      </c>
      <c r="Q168" t="str">
        <f>VLOOKUP(B168,'MASTER DATA SLT'!$C$4:$F$544,4,0)</f>
        <v>2023-04-23</v>
      </c>
      <c r="R168">
        <f>VLOOKUP(B168,'MASTER DATA SLT'!$C$4:$G$544,5,0)</f>
        <v>0</v>
      </c>
      <c r="U168">
        <f>VLOOKUP(B168,'SALARY DETALES'!$B$2:$S$475,18,0)</f>
        <v>30000</v>
      </c>
    </row>
    <row r="169" spans="1:21" x14ac:dyDescent="0.3">
      <c r="A169">
        <v>168</v>
      </c>
      <c r="B169">
        <v>15013</v>
      </c>
      <c r="C169" t="s">
        <v>314</v>
      </c>
      <c r="D169" t="s">
        <v>2137</v>
      </c>
      <c r="E169" t="str">
        <f>VLOOKUP(B169,'MASTER DATA SLT'!$C$4:$H$544,6,0)</f>
        <v>NO</v>
      </c>
      <c r="F169" t="str">
        <f>VLOOKUP(B169,'MASTER DATA SLT'!$C$4:$F$544,4,0)</f>
        <v>2023-11-16</v>
      </c>
      <c r="G169">
        <f>VLOOKUP(B169,'MASTER DATA SLT'!$C$4:$P$544,14,0)</f>
        <v>0</v>
      </c>
      <c r="I169">
        <f>VLOOKUP(B169,'MASTER DATA SLT'!$C$4:$Q$544,15,0)</f>
        <v>0</v>
      </c>
      <c r="J169">
        <f>VLOOKUP(B169,'MASTER DATA SLT'!$C$4:$R$544,16,0)</f>
        <v>0</v>
      </c>
      <c r="K169">
        <f>VLOOKUP(B169,'MASTER DATA SLT'!$C$4:$S$544,17,0)</f>
        <v>0</v>
      </c>
      <c r="N169" t="str">
        <f>VLOOKUP(B169,'SALARY DETALES'!$B$2:$C$475,2,0)</f>
        <v>HANDI</v>
      </c>
      <c r="O169" t="str">
        <f>VLOOKUP(B169,'SALARY DETALES'!$B$2:$D$475,3,0)</f>
        <v>Handi Chef</v>
      </c>
      <c r="Q169" t="str">
        <f>VLOOKUP(B169,'MASTER DATA SLT'!$C$4:$F$544,4,0)</f>
        <v>2023-11-16</v>
      </c>
      <c r="R169">
        <f>VLOOKUP(B169,'MASTER DATA SLT'!$C$4:$G$544,5,0)</f>
        <v>45</v>
      </c>
      <c r="U169">
        <f>VLOOKUP(B169,'SALARY DETALES'!$B$2:$S$475,18,0)</f>
        <v>55000</v>
      </c>
    </row>
    <row r="170" spans="1:21" x14ac:dyDescent="0.3">
      <c r="A170">
        <v>169</v>
      </c>
      <c r="B170">
        <v>80419</v>
      </c>
      <c r="C170" t="s">
        <v>1992</v>
      </c>
      <c r="D170" t="s">
        <v>1929</v>
      </c>
      <c r="E170" t="str">
        <f>VLOOKUP(B170,'MASTER DATA SLT'!$C$4:$H$544,6,0)</f>
        <v>BUS</v>
      </c>
      <c r="F170" t="str">
        <f>VLOOKUP(B170,'MASTER DATA SLT'!$C$4:$F$544,4,0)</f>
        <v>2024-10-09</v>
      </c>
      <c r="G170" t="str">
        <f>VLOOKUP(B170,'MASTER DATA SLT'!$C$4:$P$544,14,0)</f>
        <v>15201--386359</v>
      </c>
      <c r="I170" t="str">
        <f>VLOOKUP(B170,'MASTER DATA SLT'!$C$4:$Q$544,15,0)</f>
        <v>03462499357</v>
      </c>
      <c r="J170">
        <f>VLOOKUP(B170,'MASTER DATA SLT'!$C$4:$R$544,16,0)</f>
        <v>0</v>
      </c>
      <c r="K170">
        <f>VLOOKUP(B170,'MASTER DATA SLT'!$C$4:$S$544,17,0)</f>
        <v>0</v>
      </c>
      <c r="N170" t="str">
        <f>VLOOKUP(B170,'SALARY DETALES'!$B$2:$C$475,2,0)</f>
        <v>HANDI</v>
      </c>
      <c r="O170" t="str">
        <f>VLOOKUP(B170,'SALARY DETALES'!$B$2:$D$475,3,0)</f>
        <v>HELPER</v>
      </c>
      <c r="Q170" t="str">
        <f>VLOOKUP(B170,'MASTER DATA SLT'!$C$4:$F$544,4,0)</f>
        <v>2024-10-09</v>
      </c>
      <c r="R170">
        <f>VLOOKUP(B170,'MASTER DATA SLT'!$C$4:$G$544,5,0)</f>
        <v>0</v>
      </c>
      <c r="U170">
        <f>VLOOKUP(B170,'SALARY DETALES'!$B$2:$S$475,18,0)</f>
        <v>25000</v>
      </c>
    </row>
    <row r="171" spans="1:21" x14ac:dyDescent="0.3">
      <c r="A171">
        <v>170</v>
      </c>
      <c r="B171">
        <v>80754</v>
      </c>
      <c r="C171" t="s">
        <v>1857</v>
      </c>
      <c r="D171" t="s">
        <v>1993</v>
      </c>
      <c r="E171" t="str">
        <f>VLOOKUP(B171,'MASTER DATA SLT'!$C$4:$H$544,6,0)</f>
        <v>BUS</v>
      </c>
      <c r="F171" t="str">
        <f>VLOOKUP(B171,'MASTER DATA SLT'!$C$4:$F$544,4,0)</f>
        <v>2025-04-04</v>
      </c>
      <c r="G171" t="str">
        <f>VLOOKUP(B171,'MASTER DATA SLT'!$C$4:$P$544,14,0)</f>
        <v>42201-0734440</v>
      </c>
      <c r="I171" t="str">
        <f>VLOOKUP(B171,'MASTER DATA SLT'!$C$4:$Q$544,15,0)</f>
        <v>03343952658</v>
      </c>
      <c r="J171">
        <f>VLOOKUP(B171,'MASTER DATA SLT'!$C$4:$R$544,16,0)</f>
        <v>0</v>
      </c>
      <c r="K171">
        <f>VLOOKUP(B171,'MASTER DATA SLT'!$C$4:$S$544,17,0)</f>
        <v>0</v>
      </c>
      <c r="N171" t="str">
        <f>VLOOKUP(B171,'SALARY DETALES'!$B$2:$C$475,2,0)</f>
        <v>HANDI</v>
      </c>
      <c r="O171" t="str">
        <f>VLOOKUP(B171,'SALARY DETALES'!$B$2:$D$475,3,0)</f>
        <v>HELPR</v>
      </c>
      <c r="Q171" t="str">
        <f>VLOOKUP(B171,'MASTER DATA SLT'!$C$4:$F$544,4,0)</f>
        <v>2025-04-04</v>
      </c>
      <c r="R171">
        <f>VLOOKUP(B171,'MASTER DATA SLT'!$C$4:$G$544,5,0)</f>
        <v>0</v>
      </c>
      <c r="U171">
        <f>VLOOKUP(B171,'SALARY DETALES'!$B$2:$S$475,18,0)</f>
        <v>25000</v>
      </c>
    </row>
    <row r="172" spans="1:21" x14ac:dyDescent="0.3">
      <c r="A172">
        <v>171</v>
      </c>
      <c r="B172">
        <v>80755</v>
      </c>
      <c r="C172" t="s">
        <v>318</v>
      </c>
      <c r="D172" t="s">
        <v>2137</v>
      </c>
      <c r="E172" t="str">
        <f>VLOOKUP(B172,'MASTER DATA SLT'!$C$4:$H$544,6,0)</f>
        <v>BUS</v>
      </c>
      <c r="F172" t="str">
        <f>VLOOKUP(B172,'MASTER DATA SLT'!$C$4:$F$544,4,0)</f>
        <v>2025-04-04</v>
      </c>
      <c r="G172" t="str">
        <f>VLOOKUP(B172,'MASTER DATA SLT'!$C$4:$P$544,14,0)</f>
        <v>42201-5641222</v>
      </c>
      <c r="I172" t="str">
        <f>VLOOKUP(B172,'MASTER DATA SLT'!$C$4:$Q$544,15,0)</f>
        <v>03706008651</v>
      </c>
      <c r="J172" t="str">
        <f>VLOOKUP(B172,'MASTER DATA SLT'!$C$4:$R$544,16,0)</f>
        <v>03702005338</v>
      </c>
      <c r="K172">
        <f>VLOOKUP(B172,'MASTER DATA SLT'!$C$4:$S$544,17,0)</f>
        <v>0</v>
      </c>
      <c r="N172" t="str">
        <f>VLOOKUP(B172,'SALARY DETALES'!$B$2:$C$475,2,0)</f>
        <v>HANDI</v>
      </c>
      <c r="O172" t="str">
        <f>VLOOKUP(B172,'SALARY DETALES'!$B$2:$D$475,3,0)</f>
        <v>HELPER</v>
      </c>
      <c r="Q172" t="str">
        <f>VLOOKUP(B172,'MASTER DATA SLT'!$C$4:$F$544,4,0)</f>
        <v>2025-04-04</v>
      </c>
      <c r="R172">
        <f>VLOOKUP(B172,'MASTER DATA SLT'!$C$4:$G$544,5,0)</f>
        <v>0</v>
      </c>
      <c r="U172">
        <f>VLOOKUP(B172,'SALARY DETALES'!$B$2:$S$475,18,0)</f>
        <v>25000</v>
      </c>
    </row>
    <row r="173" spans="1:21" x14ac:dyDescent="0.3">
      <c r="A173">
        <v>172</v>
      </c>
      <c r="B173">
        <v>80782</v>
      </c>
      <c r="C173" t="s">
        <v>1994</v>
      </c>
      <c r="D173" t="s">
        <v>1863</v>
      </c>
      <c r="E173" t="str">
        <f>VLOOKUP(B173,'MASTER DATA SLT'!$C$4:$H$544,6,0)</f>
        <v>BUS</v>
      </c>
      <c r="F173" t="str">
        <f>VLOOKUP(B173,'MASTER DATA SLT'!$C$4:$F$544,4,0)</f>
        <v>2025-04-17</v>
      </c>
      <c r="G173" t="str">
        <f>VLOOKUP(B173,'MASTER DATA SLT'!$C$4:$P$544,14,0)</f>
        <v>42501-3009187</v>
      </c>
      <c r="I173" t="str">
        <f>VLOOKUP(B173,'MASTER DATA SLT'!$C$4:$Q$544,15,0)</f>
        <v>03152048899</v>
      </c>
      <c r="J173" t="str">
        <f>VLOOKUP(B173,'MASTER DATA SLT'!$C$4:$R$544,16,0)</f>
        <v>03306883453</v>
      </c>
      <c r="K173">
        <f>VLOOKUP(B173,'MASTER DATA SLT'!$C$4:$S$544,17,0)</f>
        <v>0</v>
      </c>
      <c r="N173" t="str">
        <f>VLOOKUP(B173,'SALARY DETALES'!$B$2:$C$475,2,0)</f>
        <v>HANDI</v>
      </c>
      <c r="O173" t="str">
        <f>VLOOKUP(B173,'SALARY DETALES'!$B$2:$D$475,3,0)</f>
        <v>internee</v>
      </c>
      <c r="Q173" t="str">
        <f>VLOOKUP(B173,'MASTER DATA SLT'!$C$4:$F$544,4,0)</f>
        <v>2025-04-17</v>
      </c>
      <c r="R173">
        <f>VLOOKUP(B173,'MASTER DATA SLT'!$C$4:$G$544,5,0)</f>
        <v>0</v>
      </c>
      <c r="U173">
        <f>VLOOKUP(B173,'SALARY DETALES'!$B$2:$S$475,18,0)</f>
        <v>15000</v>
      </c>
    </row>
    <row r="174" spans="1:21" x14ac:dyDescent="0.3">
      <c r="A174">
        <v>173</v>
      </c>
      <c r="B174">
        <v>6004</v>
      </c>
      <c r="C174" t="s">
        <v>1995</v>
      </c>
      <c r="D174" t="s">
        <v>1869</v>
      </c>
      <c r="E174" t="str">
        <f>VLOOKUP(B174,'MASTER DATA SLT'!$C$4:$H$544,6,0)</f>
        <v>NO</v>
      </c>
      <c r="F174" t="str">
        <f>VLOOKUP(B174,'MASTER DATA SLT'!$C$4:$F$544,4,0)</f>
        <v>2023-02-01</v>
      </c>
      <c r="G174">
        <f>VLOOKUP(B174,'MASTER DATA SLT'!$C$4:$P$544,14,0)</f>
        <v>0</v>
      </c>
      <c r="I174">
        <f>VLOOKUP(B174,'MASTER DATA SLT'!$C$4:$Q$544,15,0)</f>
        <v>0</v>
      </c>
      <c r="J174">
        <f>VLOOKUP(B174,'MASTER DATA SLT'!$C$4:$R$544,16,0)</f>
        <v>0</v>
      </c>
      <c r="K174">
        <f>VLOOKUP(B174,'MASTER DATA SLT'!$C$4:$S$544,17,0)</f>
        <v>0</v>
      </c>
      <c r="N174" t="str">
        <f>VLOOKUP(B174,'SALARY DETALES'!$B$2:$C$475,2,0)</f>
        <v>ITSS</v>
      </c>
      <c r="O174" t="str">
        <f>VLOOKUP(B174,'SALARY DETALES'!$B$2:$D$475,3,0)</f>
        <v>CCTV</v>
      </c>
      <c r="Q174" t="str">
        <f>VLOOKUP(B174,'MASTER DATA SLT'!$C$4:$F$544,4,0)</f>
        <v>2023-02-01</v>
      </c>
      <c r="R174">
        <f>VLOOKUP(B174,'MASTER DATA SLT'!$C$4:$G$544,5,0)</f>
        <v>75</v>
      </c>
      <c r="U174">
        <f>VLOOKUP(B174,'SALARY DETALES'!$B$2:$S$475,18,0)</f>
        <v>40000</v>
      </c>
    </row>
    <row r="175" spans="1:21" x14ac:dyDescent="0.3">
      <c r="A175">
        <v>174</v>
      </c>
      <c r="B175">
        <v>6008</v>
      </c>
      <c r="C175" t="s">
        <v>1845</v>
      </c>
      <c r="D175" t="s">
        <v>2155</v>
      </c>
      <c r="E175" t="str">
        <f>VLOOKUP(B175,'MASTER DATA SLT'!$C$4:$H$544,6,0)</f>
        <v>NO</v>
      </c>
      <c r="F175" t="str">
        <f>VLOOKUP(B175,'MASTER DATA SLT'!$C$4:$F$544,4,0)</f>
        <v>2023-12-11</v>
      </c>
      <c r="G175">
        <f>VLOOKUP(B175,'MASTER DATA SLT'!$C$4:$P$544,14,0)</f>
        <v>0</v>
      </c>
      <c r="I175">
        <f>VLOOKUP(B175,'MASTER DATA SLT'!$C$4:$Q$544,15,0)</f>
        <v>0</v>
      </c>
      <c r="J175">
        <f>VLOOKUP(B175,'MASTER DATA SLT'!$C$4:$R$544,16,0)</f>
        <v>0</v>
      </c>
      <c r="K175">
        <f>VLOOKUP(B175,'MASTER DATA SLT'!$C$4:$S$544,17,0)</f>
        <v>0</v>
      </c>
      <c r="N175" t="str">
        <f>VLOOKUP(B175,'SALARY DETALES'!$B$2:$C$475,2,0)</f>
        <v>ITSS</v>
      </c>
      <c r="O175" t="str">
        <f>VLOOKUP(B175,'SALARY DETALES'!$B$2:$D$475,3,0)</f>
        <v>IT Manager</v>
      </c>
      <c r="Q175" t="str">
        <f>VLOOKUP(B175,'MASTER DATA SLT'!$C$4:$F$544,4,0)</f>
        <v>2023-12-11</v>
      </c>
      <c r="R175">
        <f>VLOOKUP(B175,'MASTER DATA SLT'!$C$4:$G$544,5,0)</f>
        <v>120</v>
      </c>
      <c r="U175">
        <f>VLOOKUP(B175,'SALARY DETALES'!$B$2:$S$475,18,0)</f>
        <v>40000</v>
      </c>
    </row>
    <row r="176" spans="1:21" x14ac:dyDescent="0.3">
      <c r="A176">
        <v>175</v>
      </c>
      <c r="B176">
        <v>6011</v>
      </c>
      <c r="C176" t="s">
        <v>1997</v>
      </c>
      <c r="D176" t="s">
        <v>1846</v>
      </c>
      <c r="E176" t="str">
        <f>VLOOKUP(B176,'MASTER DATA SLT'!$C$4:$H$544,6,0)</f>
        <v>NO</v>
      </c>
      <c r="F176" t="str">
        <f>VLOOKUP(B176,'MASTER DATA SLT'!$C$4:$F$544,4,0)</f>
        <v>2024-02-17</v>
      </c>
      <c r="G176">
        <f>VLOOKUP(B176,'MASTER DATA SLT'!$C$4:$P$544,14,0)</f>
        <v>0</v>
      </c>
      <c r="I176">
        <f>VLOOKUP(B176,'MASTER DATA SLT'!$C$4:$Q$544,15,0)</f>
        <v>0</v>
      </c>
      <c r="J176">
        <f>VLOOKUP(B176,'MASTER DATA SLT'!$C$4:$R$544,16,0)</f>
        <v>0</v>
      </c>
      <c r="K176">
        <f>VLOOKUP(B176,'MASTER DATA SLT'!$C$4:$S$544,17,0)</f>
        <v>0</v>
      </c>
      <c r="N176" t="str">
        <f>VLOOKUP(B176,'SALARY DETALES'!$B$2:$C$475,2,0)</f>
        <v>ITSS</v>
      </c>
      <c r="O176" t="str">
        <f>VLOOKUP(B176,'SALARY DETALES'!$B$2:$D$475,3,0)</f>
        <v>CCTV Officer</v>
      </c>
      <c r="Q176" t="str">
        <f>VLOOKUP(B176,'MASTER DATA SLT'!$C$4:$F$544,4,0)</f>
        <v>2024-02-17</v>
      </c>
      <c r="R176">
        <f>VLOOKUP(B176,'MASTER DATA SLT'!$C$4:$G$544,5,0)</f>
        <v>75</v>
      </c>
      <c r="U176">
        <f>VLOOKUP(B176,'SALARY DETALES'!$B$2:$S$475,18,0)</f>
        <v>30000</v>
      </c>
    </row>
    <row r="177" spans="1:21" x14ac:dyDescent="0.3">
      <c r="A177">
        <v>176</v>
      </c>
      <c r="B177">
        <v>80594</v>
      </c>
      <c r="C177" t="s">
        <v>1998</v>
      </c>
      <c r="D177" t="s">
        <v>1999</v>
      </c>
      <c r="E177" t="str">
        <f>VLOOKUP(B177,'MASTER DATA SLT'!$C$4:$H$544,6,0)</f>
        <v>BUS</v>
      </c>
      <c r="F177" t="str">
        <f>VLOOKUP(B177,'MASTER DATA SLT'!$C$4:$F$544,4,0)</f>
        <v>2025-03-01</v>
      </c>
      <c r="G177">
        <f>VLOOKUP(B177,'MASTER DATA SLT'!$C$4:$P$544,14,0)</f>
        <v>0</v>
      </c>
      <c r="I177">
        <f>VLOOKUP(B177,'MASTER DATA SLT'!$C$4:$Q$544,15,0)</f>
        <v>0</v>
      </c>
      <c r="J177">
        <f>VLOOKUP(B177,'MASTER DATA SLT'!$C$4:$R$544,16,0)</f>
        <v>0</v>
      </c>
      <c r="K177">
        <f>VLOOKUP(B177,'MASTER DATA SLT'!$C$4:$S$544,17,0)</f>
        <v>0</v>
      </c>
      <c r="N177" t="str">
        <f>VLOOKUP(B177,'SALARY DETALES'!$B$2:$C$475,2,0)</f>
        <v>ITSS</v>
      </c>
      <c r="O177" t="str">
        <f>VLOOKUP(B177,'SALARY DETALES'!$B$2:$D$475,3,0)</f>
        <v>IT ASSISTANT</v>
      </c>
      <c r="Q177" t="str">
        <f>VLOOKUP(B177,'MASTER DATA SLT'!$C$4:$F$544,4,0)</f>
        <v>2025-03-01</v>
      </c>
      <c r="R177">
        <f>VLOOKUP(B177,'MASTER DATA SLT'!$C$4:$G$544,5,0)</f>
        <v>0</v>
      </c>
      <c r="U177">
        <f>VLOOKUP(B177,'SALARY DETALES'!$B$2:$S$475,18,0)</f>
        <v>30000</v>
      </c>
    </row>
    <row r="178" spans="1:21" x14ac:dyDescent="0.3">
      <c r="A178">
        <v>177</v>
      </c>
      <c r="B178">
        <v>80715</v>
      </c>
      <c r="C178" t="s">
        <v>2000</v>
      </c>
      <c r="D178" t="s">
        <v>2156</v>
      </c>
      <c r="E178" t="str">
        <f>VLOOKUP(B178,'MASTER DATA SLT'!$C$4:$H$544,6,0)</f>
        <v>BUS</v>
      </c>
      <c r="F178" t="str">
        <f>VLOOKUP(B178,'MASTER DATA SLT'!$C$4:$F$544,4,0)</f>
        <v>2025-03-10</v>
      </c>
      <c r="G178" t="str">
        <f>VLOOKUP(B178,'MASTER DATA SLT'!$C$4:$P$544,14,0)</f>
        <v>42003-202271-</v>
      </c>
      <c r="I178" t="str">
        <f>VLOOKUP(B178,'MASTER DATA SLT'!$C$4:$Q$544,15,0)</f>
        <v>0343-3348993</v>
      </c>
      <c r="J178">
        <f>VLOOKUP(B178,'MASTER DATA SLT'!$C$4:$R$544,16,0)</f>
        <v>0</v>
      </c>
      <c r="K178">
        <f>VLOOKUP(B178,'MASTER DATA SLT'!$C$4:$S$544,17,0)</f>
        <v>0</v>
      </c>
      <c r="N178" t="str">
        <f>VLOOKUP(B178,'SALARY DETALES'!$B$2:$C$475,2,0)</f>
        <v>ITSS</v>
      </c>
      <c r="O178" t="str">
        <f>VLOOKUP(B178,'SALARY DETALES'!$B$2:$D$475,3,0)</f>
        <v>CCTV ASSISTANT</v>
      </c>
      <c r="Q178" t="str">
        <f>VLOOKUP(B178,'MASTER DATA SLT'!$C$4:$F$544,4,0)</f>
        <v>2025-03-10</v>
      </c>
      <c r="R178">
        <f>VLOOKUP(B178,'MASTER DATA SLT'!$C$4:$G$544,5,0)</f>
        <v>0</v>
      </c>
      <c r="U178">
        <f>VLOOKUP(B178,'SALARY DETALES'!$B$2:$S$475,18,0)</f>
        <v>25000</v>
      </c>
    </row>
    <row r="179" spans="1:21" x14ac:dyDescent="0.3">
      <c r="A179">
        <v>178</v>
      </c>
      <c r="B179">
        <v>16004</v>
      </c>
      <c r="C179" t="s">
        <v>2001</v>
      </c>
      <c r="D179" t="s">
        <v>1883</v>
      </c>
      <c r="E179" t="str">
        <f>VLOOKUP(B179,'MASTER DATA SLT'!$C$4:$H$544,6,0)</f>
        <v>BUS</v>
      </c>
      <c r="F179" t="str">
        <f>VLOOKUP(B179,'MASTER DATA SLT'!$C$4:$F$544,4,0)</f>
        <v>2022-01-11</v>
      </c>
      <c r="G179">
        <f>VLOOKUP(B179,'MASTER DATA SLT'!$C$4:$P$544,14,0)</f>
        <v>0</v>
      </c>
      <c r="I179">
        <f>VLOOKUP(B179,'MASTER DATA SLT'!$C$4:$Q$544,15,0)</f>
        <v>0</v>
      </c>
      <c r="J179">
        <f>VLOOKUP(B179,'MASTER DATA SLT'!$C$4:$R$544,16,0)</f>
        <v>0</v>
      </c>
      <c r="K179">
        <f>VLOOKUP(B179,'MASTER DATA SLT'!$C$4:$S$544,17,0)</f>
        <v>0</v>
      </c>
      <c r="N179" t="str">
        <f>VLOOKUP(B179,'SALARY DETALES'!$B$2:$C$475,2,0)</f>
        <v>Karahi</v>
      </c>
      <c r="O179" t="str">
        <f>VLOOKUP(B179,'SALARY DETALES'!$B$2:$D$475,3,0)</f>
        <v>KARHAI CHEF</v>
      </c>
      <c r="Q179" t="str">
        <f>VLOOKUP(B179,'MASTER DATA SLT'!$C$4:$F$544,4,0)</f>
        <v>2022-01-11</v>
      </c>
      <c r="R179">
        <f>VLOOKUP(B179,'MASTER DATA SLT'!$C$4:$G$544,5,0)</f>
        <v>0</v>
      </c>
      <c r="U179">
        <f>VLOOKUP(B179,'SALARY DETALES'!$B$2:$S$475,18,0)</f>
        <v>120000</v>
      </c>
    </row>
    <row r="180" spans="1:21" x14ac:dyDescent="0.3">
      <c r="A180">
        <v>179</v>
      </c>
      <c r="B180">
        <v>16007</v>
      </c>
      <c r="C180" t="s">
        <v>245</v>
      </c>
      <c r="D180" t="s">
        <v>2137</v>
      </c>
      <c r="E180" t="str">
        <f>VLOOKUP(B180,'MASTER DATA SLT'!$C$4:$H$544,6,0)</f>
        <v>BUS</v>
      </c>
      <c r="F180" t="str">
        <f>VLOOKUP(B180,'MASTER DATA SLT'!$C$4:$F$544,4,0)</f>
        <v>2021-12-29</v>
      </c>
      <c r="G180">
        <f>VLOOKUP(B180,'MASTER DATA SLT'!$C$4:$P$544,14,0)</f>
        <v>0</v>
      </c>
      <c r="I180">
        <f>VLOOKUP(B180,'MASTER DATA SLT'!$C$4:$Q$544,15,0)</f>
        <v>0</v>
      </c>
      <c r="J180">
        <f>VLOOKUP(B180,'MASTER DATA SLT'!$C$4:$R$544,16,0)</f>
        <v>0</v>
      </c>
      <c r="K180">
        <f>VLOOKUP(B180,'MASTER DATA SLT'!$C$4:$S$544,17,0)</f>
        <v>0</v>
      </c>
      <c r="N180" t="str">
        <f>VLOOKUP(B180,'SALARY DETALES'!$B$2:$C$475,2,0)</f>
        <v>Karahi</v>
      </c>
      <c r="O180" t="str">
        <f>VLOOKUP(B180,'SALARY DETALES'!$B$2:$D$475,3,0)</f>
        <v>Karahi Helper</v>
      </c>
      <c r="Q180" t="str">
        <f>VLOOKUP(B180,'MASTER DATA SLT'!$C$4:$F$544,4,0)</f>
        <v>2021-12-29</v>
      </c>
      <c r="R180">
        <f>VLOOKUP(B180,'MASTER DATA SLT'!$C$4:$G$544,5,0)</f>
        <v>0</v>
      </c>
      <c r="U180">
        <f>VLOOKUP(B180,'SALARY DETALES'!$B$2:$S$475,18,0)</f>
        <v>65450</v>
      </c>
    </row>
    <row r="181" spans="1:21" x14ac:dyDescent="0.3">
      <c r="A181">
        <v>180</v>
      </c>
      <c r="B181">
        <v>16014</v>
      </c>
      <c r="C181" t="s">
        <v>2002</v>
      </c>
      <c r="D181" t="s">
        <v>1869</v>
      </c>
      <c r="E181" t="str">
        <f>VLOOKUP(B181,'MASTER DATA SLT'!$C$4:$H$544,6,0)</f>
        <v>BUS</v>
      </c>
      <c r="F181" t="str">
        <f>VLOOKUP(B181,'MASTER DATA SLT'!$C$4:$F$544,4,0)</f>
        <v>2024-06-19</v>
      </c>
      <c r="G181">
        <f>VLOOKUP(B181,'MASTER DATA SLT'!$C$4:$P$544,14,0)</f>
        <v>0</v>
      </c>
      <c r="I181" t="str">
        <f>VLOOKUP(B181,'MASTER DATA SLT'!$C$4:$Q$544,15,0)</f>
        <v>03418586612</v>
      </c>
      <c r="J181">
        <f>VLOOKUP(B181,'MASTER DATA SLT'!$C$4:$R$544,16,0)</f>
        <v>0</v>
      </c>
      <c r="K181">
        <f>VLOOKUP(B181,'MASTER DATA SLT'!$C$4:$S$544,17,0)</f>
        <v>0</v>
      </c>
      <c r="N181" t="str">
        <f>VLOOKUP(B181,'SALARY DETALES'!$B$2:$C$475,2,0)</f>
        <v>Karahi</v>
      </c>
      <c r="O181" t="str">
        <f>VLOOKUP(B181,'SALARY DETALES'!$B$2:$D$475,3,0)</f>
        <v>Matan Karhai cook</v>
      </c>
      <c r="Q181" t="str">
        <f>VLOOKUP(B181,'MASTER DATA SLT'!$C$4:$F$544,4,0)</f>
        <v>2024-06-19</v>
      </c>
      <c r="R181">
        <f>VLOOKUP(B181,'MASTER DATA SLT'!$C$4:$G$544,5,0)</f>
        <v>0</v>
      </c>
      <c r="U181">
        <f>VLOOKUP(B181,'SALARY DETALES'!$B$2:$S$475,18,0)</f>
        <v>45000</v>
      </c>
    </row>
    <row r="182" spans="1:21" x14ac:dyDescent="0.3">
      <c r="A182">
        <v>181</v>
      </c>
      <c r="B182">
        <v>28038</v>
      </c>
      <c r="C182" t="s">
        <v>487</v>
      </c>
      <c r="D182" t="s">
        <v>245</v>
      </c>
      <c r="E182" t="str">
        <f>VLOOKUP(B182,'MASTER DATA SLT'!$C$4:$H$544,6,0)</f>
        <v>BUS</v>
      </c>
      <c r="F182" t="str">
        <f>VLOOKUP(B182,'MASTER DATA SLT'!$C$4:$F$544,4,0)</f>
        <v>2021-12-30</v>
      </c>
      <c r="G182" t="str">
        <f>VLOOKUP(B182,'MASTER DATA SLT'!$C$4:$P$544,14,0)</f>
        <v>42501-6530304</v>
      </c>
      <c r="I182">
        <f>VLOOKUP(B182,'MASTER DATA SLT'!$C$4:$Q$544,15,0)</f>
        <v>3442844868</v>
      </c>
      <c r="J182">
        <f>VLOOKUP(B182,'MASTER DATA SLT'!$C$4:$R$544,16,0)</f>
        <v>3423377431</v>
      </c>
      <c r="K182" t="str">
        <f>VLOOKUP(B182,'MASTER DATA SLT'!$C$4:$S$544,17,0)</f>
        <v>FEATURE COLONY KARACHI</v>
      </c>
      <c r="N182" t="str">
        <f>VLOOKUP(B182,'SALARY DETALES'!$B$2:$C$475,2,0)</f>
        <v>Karahi</v>
      </c>
      <c r="O182" t="str">
        <f>VLOOKUP(B182,'SALARY DETALES'!$B$2:$D$475,3,0)</f>
        <v>HELPER</v>
      </c>
      <c r="Q182" t="str">
        <f>VLOOKUP(B182,'MASTER DATA SLT'!$C$4:$F$544,4,0)</f>
        <v>2021-12-30</v>
      </c>
      <c r="R182">
        <f>VLOOKUP(B182,'MASTER DATA SLT'!$C$4:$G$544,5,0)</f>
        <v>0</v>
      </c>
      <c r="U182">
        <f>VLOOKUP(B182,'SALARY DETALES'!$B$2:$S$475,18,0)</f>
        <v>22000</v>
      </c>
    </row>
    <row r="183" spans="1:21" x14ac:dyDescent="0.3">
      <c r="A183">
        <v>182</v>
      </c>
      <c r="B183">
        <v>16034</v>
      </c>
      <c r="C183" t="s">
        <v>339</v>
      </c>
      <c r="D183" t="s">
        <v>2137</v>
      </c>
      <c r="E183" t="str">
        <f>VLOOKUP(B183,'MASTER DATA SLT'!$C$4:$H$544,6,0)</f>
        <v>BUS</v>
      </c>
      <c r="F183" t="str">
        <f>VLOOKUP(B183,'MASTER DATA SLT'!$C$4:$F$544,4,0)</f>
        <v>2023-04-17</v>
      </c>
      <c r="G183" t="str">
        <f>VLOOKUP(B183,'MASTER DATA SLT'!$C$4:$P$544,14,0)</f>
        <v>42201-6803834</v>
      </c>
      <c r="I183">
        <f>VLOOKUP(B183,'MASTER DATA SLT'!$C$4:$Q$544,15,0)</f>
        <v>0</v>
      </c>
      <c r="J183">
        <f>VLOOKUP(B183,'MASTER DATA SLT'!$C$4:$R$544,16,0)</f>
        <v>0</v>
      </c>
      <c r="K183">
        <f>VLOOKUP(B183,'MASTER DATA SLT'!$C$4:$S$544,17,0)</f>
        <v>0</v>
      </c>
      <c r="N183" t="str">
        <f>VLOOKUP(B183,'SALARY DETALES'!$B$2:$C$475,2,0)</f>
        <v>Karahi</v>
      </c>
      <c r="O183" t="str">
        <f>VLOOKUP(B183,'SALARY DETALES'!$B$2:$D$475,3,0)</f>
        <v>Karahi Helper</v>
      </c>
      <c r="Q183" t="str">
        <f>VLOOKUP(B183,'MASTER DATA SLT'!$C$4:$F$544,4,0)</f>
        <v>2023-04-17</v>
      </c>
      <c r="R183">
        <f>VLOOKUP(B183,'MASTER DATA SLT'!$C$4:$G$544,5,0)</f>
        <v>0</v>
      </c>
      <c r="U183">
        <f>VLOOKUP(B183,'SALARY DETALES'!$B$2:$S$475,18,0)</f>
        <v>33000</v>
      </c>
    </row>
    <row r="184" spans="1:21" x14ac:dyDescent="0.3">
      <c r="A184">
        <v>183</v>
      </c>
      <c r="B184">
        <v>16028</v>
      </c>
      <c r="C184" t="s">
        <v>651</v>
      </c>
      <c r="D184" t="s">
        <v>2003</v>
      </c>
      <c r="E184" t="str">
        <f>VLOOKUP(B184,'MASTER DATA SLT'!$C$4:$H$544,6,0)</f>
        <v>BUS</v>
      </c>
      <c r="F184" t="str">
        <f>VLOOKUP(B184,'MASTER DATA SLT'!$C$4:$F$544,4,0)</f>
        <v>2023-06-03</v>
      </c>
      <c r="G184" t="str">
        <f>VLOOKUP(B184,'MASTER DATA SLT'!$C$4:$P$544,14,0)</f>
        <v>13503-6716227</v>
      </c>
      <c r="I184">
        <f>VLOOKUP(B184,'MASTER DATA SLT'!$C$4:$Q$544,15,0)</f>
        <v>0</v>
      </c>
      <c r="J184">
        <f>VLOOKUP(B184,'MASTER DATA SLT'!$C$4:$R$544,16,0)</f>
        <v>0</v>
      </c>
      <c r="K184">
        <f>VLOOKUP(B184,'MASTER DATA SLT'!$C$4:$S$544,17,0)</f>
        <v>0</v>
      </c>
      <c r="N184" t="str">
        <f>VLOOKUP(B184,'SALARY DETALES'!$B$2:$C$475,2,0)</f>
        <v>Karahi</v>
      </c>
      <c r="O184" t="str">
        <f>VLOOKUP(B184,'SALARY DETALES'!$B$2:$D$475,3,0)</f>
        <v>Karahi Helper</v>
      </c>
      <c r="Q184" t="str">
        <f>VLOOKUP(B184,'MASTER DATA SLT'!$C$4:$F$544,4,0)</f>
        <v>2023-06-03</v>
      </c>
      <c r="R184">
        <f>VLOOKUP(B184,'MASTER DATA SLT'!$C$4:$G$544,5,0)</f>
        <v>0</v>
      </c>
      <c r="U184">
        <f>VLOOKUP(B184,'SALARY DETALES'!$B$2:$S$475,18,0)</f>
        <v>44000</v>
      </c>
    </row>
    <row r="185" spans="1:21" x14ac:dyDescent="0.3">
      <c r="A185">
        <v>184</v>
      </c>
      <c r="B185">
        <v>16036</v>
      </c>
      <c r="C185" t="s">
        <v>341</v>
      </c>
      <c r="D185" t="s">
        <v>2137</v>
      </c>
      <c r="E185" t="str">
        <f>VLOOKUP(B185,'MASTER DATA SLT'!$C$4:$H$544,6,0)</f>
        <v>BUS</v>
      </c>
      <c r="F185" t="str">
        <f>VLOOKUP(B185,'MASTER DATA SLT'!$C$4:$F$544,4,0)</f>
        <v>2023-07-10</v>
      </c>
      <c r="G185">
        <f>VLOOKUP(B185,'MASTER DATA SLT'!$C$4:$P$544,14,0)</f>
        <v>0</v>
      </c>
      <c r="I185">
        <f>VLOOKUP(B185,'MASTER DATA SLT'!$C$4:$Q$544,15,0)</f>
        <v>0</v>
      </c>
      <c r="J185">
        <f>VLOOKUP(B185,'MASTER DATA SLT'!$C$4:$R$544,16,0)</f>
        <v>0</v>
      </c>
      <c r="K185">
        <f>VLOOKUP(B185,'MASTER DATA SLT'!$C$4:$S$544,17,0)</f>
        <v>0</v>
      </c>
      <c r="N185" t="str">
        <f>VLOOKUP(B185,'SALARY DETALES'!$B$2:$C$475,2,0)</f>
        <v>Karahi</v>
      </c>
      <c r="O185" t="str">
        <f>VLOOKUP(B185,'SALARY DETALES'!$B$2:$D$475,3,0)</f>
        <v>Karahi Helper</v>
      </c>
      <c r="Q185" t="str">
        <f>VLOOKUP(B185,'MASTER DATA SLT'!$C$4:$F$544,4,0)</f>
        <v>2023-07-10</v>
      </c>
      <c r="R185">
        <f>VLOOKUP(B185,'MASTER DATA SLT'!$C$4:$G$544,5,0)</f>
        <v>0</v>
      </c>
      <c r="U185">
        <f>VLOOKUP(B185,'SALARY DETALES'!$B$2:$S$475,18,0)</f>
        <v>38500</v>
      </c>
    </row>
    <row r="186" spans="1:21" x14ac:dyDescent="0.3">
      <c r="A186">
        <v>185</v>
      </c>
      <c r="B186">
        <v>16038</v>
      </c>
      <c r="C186" t="s">
        <v>342</v>
      </c>
      <c r="D186" t="s">
        <v>2137</v>
      </c>
      <c r="E186" t="str">
        <f>VLOOKUP(B186,'MASTER DATA SLT'!$C$4:$H$544,6,0)</f>
        <v>BUS</v>
      </c>
      <c r="F186" t="str">
        <f>VLOOKUP(B186,'MASTER DATA SLT'!$C$4:$F$544,4,0)</f>
        <v>2023-11-12</v>
      </c>
      <c r="G186">
        <f>VLOOKUP(B186,'MASTER DATA SLT'!$C$4:$P$544,14,0)</f>
        <v>0</v>
      </c>
      <c r="I186">
        <f>VLOOKUP(B186,'MASTER DATA SLT'!$C$4:$Q$544,15,0)</f>
        <v>0</v>
      </c>
      <c r="J186">
        <f>VLOOKUP(B186,'MASTER DATA SLT'!$C$4:$R$544,16,0)</f>
        <v>0</v>
      </c>
      <c r="K186">
        <f>VLOOKUP(B186,'MASTER DATA SLT'!$C$4:$S$544,17,0)</f>
        <v>0</v>
      </c>
      <c r="N186" t="str">
        <f>VLOOKUP(B186,'SALARY DETALES'!$B$2:$C$475,2,0)</f>
        <v>Karahi</v>
      </c>
      <c r="O186" t="str">
        <f>VLOOKUP(B186,'SALARY DETALES'!$B$2:$D$475,3,0)</f>
        <v>Karahi Helper</v>
      </c>
      <c r="Q186" t="str">
        <f>VLOOKUP(B186,'MASTER DATA SLT'!$C$4:$F$544,4,0)</f>
        <v>2023-11-12</v>
      </c>
      <c r="R186">
        <f>VLOOKUP(B186,'MASTER DATA SLT'!$C$4:$G$544,5,0)</f>
        <v>0</v>
      </c>
      <c r="U186">
        <f>VLOOKUP(B186,'SALARY DETALES'!$B$2:$S$475,18,0)</f>
        <v>38500</v>
      </c>
    </row>
    <row r="187" spans="1:21" x14ac:dyDescent="0.3">
      <c r="A187">
        <v>186</v>
      </c>
      <c r="B187">
        <v>16048</v>
      </c>
      <c r="C187" t="s">
        <v>344</v>
      </c>
      <c r="D187" t="s">
        <v>2137</v>
      </c>
      <c r="E187" t="str">
        <f>VLOOKUP(B187,'MASTER DATA SLT'!$C$4:$H$544,6,0)</f>
        <v>BUS</v>
      </c>
      <c r="F187" t="str">
        <f>VLOOKUP(B187,'MASTER DATA SLT'!$C$4:$F$544,4,0)</f>
        <v>2024-06-06</v>
      </c>
      <c r="G187" t="str">
        <f>VLOOKUP(B187,'MASTER DATA SLT'!$C$4:$P$544,14,0)</f>
        <v>42401-2665611</v>
      </c>
      <c r="I187" t="str">
        <f>VLOOKUP(B187,'MASTER DATA SLT'!$C$4:$Q$544,15,0)</f>
        <v>0342-0240317</v>
      </c>
      <c r="J187">
        <f>VLOOKUP(B187,'MASTER DATA SLT'!$C$4:$R$544,16,0)</f>
        <v>0</v>
      </c>
      <c r="K187">
        <f>VLOOKUP(B187,'MASTER DATA SLT'!$C$4:$S$544,17,0)</f>
        <v>0</v>
      </c>
      <c r="N187" t="str">
        <f>VLOOKUP(B187,'SALARY DETALES'!$B$2:$C$475,2,0)</f>
        <v>Karahi</v>
      </c>
      <c r="O187" t="str">
        <f>VLOOKUP(B187,'SALARY DETALES'!$B$2:$D$475,3,0)</f>
        <v>Karhai Cook</v>
      </c>
      <c r="Q187" t="str">
        <f>VLOOKUP(B187,'MASTER DATA SLT'!$C$4:$F$544,4,0)</f>
        <v>2024-06-06</v>
      </c>
      <c r="R187">
        <f>VLOOKUP(B187,'MASTER DATA SLT'!$C$4:$G$544,5,0)</f>
        <v>0</v>
      </c>
      <c r="U187">
        <f>VLOOKUP(B187,'SALARY DETALES'!$B$2:$S$475,18,0)</f>
        <v>25000</v>
      </c>
    </row>
    <row r="188" spans="1:21" x14ac:dyDescent="0.3">
      <c r="A188">
        <v>187</v>
      </c>
      <c r="B188">
        <v>16049</v>
      </c>
      <c r="C188" t="s">
        <v>2004</v>
      </c>
      <c r="D188" t="s">
        <v>2005</v>
      </c>
      <c r="E188" t="str">
        <f>VLOOKUP(B188,'MASTER DATA SLT'!$C$4:$H$544,6,0)</f>
        <v>BUS</v>
      </c>
      <c r="F188" t="str">
        <f>VLOOKUP(B188,'MASTER DATA SLT'!$C$4:$F$544,4,0)</f>
        <v>2025-02-16</v>
      </c>
      <c r="G188" t="str">
        <f>VLOOKUP(B188,'MASTER DATA SLT'!$C$4:$P$544,14,0)</f>
        <v>13503-7042357</v>
      </c>
      <c r="I188" t="str">
        <f>VLOOKUP(B188,'MASTER DATA SLT'!$C$4:$Q$544,15,0)</f>
        <v>0313-1213578</v>
      </c>
      <c r="J188">
        <f>VLOOKUP(B188,'MASTER DATA SLT'!$C$4:$R$544,16,0)</f>
        <v>0</v>
      </c>
      <c r="K188">
        <f>VLOOKUP(B188,'MASTER DATA SLT'!$C$4:$S$544,17,0)</f>
        <v>0</v>
      </c>
      <c r="N188" t="str">
        <f>VLOOKUP(B188,'SALARY DETALES'!$B$2:$C$475,2,0)</f>
        <v>Karahi</v>
      </c>
      <c r="O188" t="str">
        <f>VLOOKUP(B188,'SALARY DETALES'!$B$2:$D$475,3,0)</f>
        <v>KARHAI HELPER</v>
      </c>
      <c r="Q188" t="str">
        <f>VLOOKUP(B188,'MASTER DATA SLT'!$C$4:$F$544,4,0)</f>
        <v>2025-02-16</v>
      </c>
      <c r="R188">
        <f>VLOOKUP(B188,'MASTER DATA SLT'!$C$4:$G$544,5,0)</f>
        <v>0</v>
      </c>
      <c r="U188">
        <f>VLOOKUP(B188,'SALARY DETALES'!$B$2:$S$475,18,0)</f>
        <v>25000</v>
      </c>
    </row>
    <row r="189" spans="1:21" x14ac:dyDescent="0.3">
      <c r="A189">
        <v>188</v>
      </c>
      <c r="B189">
        <v>80433</v>
      </c>
      <c r="C189" t="s">
        <v>1857</v>
      </c>
      <c r="D189" t="s">
        <v>2006</v>
      </c>
      <c r="E189" t="str">
        <f>VLOOKUP(B189,'MASTER DATA SLT'!$C$4:$H$544,6,0)</f>
        <v>BUS</v>
      </c>
      <c r="F189" t="str">
        <f>VLOOKUP(B189,'MASTER DATA SLT'!$C$4:$F$544,4,0)</f>
        <v>2024-10-12</v>
      </c>
      <c r="G189" t="str">
        <f>VLOOKUP(B189,'MASTER DATA SLT'!$C$4:$P$544,14,0)</f>
        <v>17101-6925445</v>
      </c>
      <c r="I189" t="str">
        <f>VLOOKUP(B189,'MASTER DATA SLT'!$C$4:$Q$544,15,0)</f>
        <v>03412219893</v>
      </c>
      <c r="J189">
        <f>VLOOKUP(B189,'MASTER DATA SLT'!$C$4:$R$544,16,0)</f>
        <v>0</v>
      </c>
      <c r="K189">
        <f>VLOOKUP(B189,'MASTER DATA SLT'!$C$4:$S$544,17,0)</f>
        <v>0</v>
      </c>
      <c r="N189" t="str">
        <f>VLOOKUP(B189,'SALARY DETALES'!$B$2:$C$475,2,0)</f>
        <v>Karahi</v>
      </c>
      <c r="O189">
        <f>VLOOKUP(B189,'SALARY DETALES'!$B$2:$D$475,3,0)</f>
        <v>0</v>
      </c>
      <c r="Q189" t="str">
        <f>VLOOKUP(B189,'MASTER DATA SLT'!$C$4:$F$544,4,0)</f>
        <v>2024-10-12</v>
      </c>
      <c r="R189">
        <f>VLOOKUP(B189,'MASTER DATA SLT'!$C$4:$G$544,5,0)</f>
        <v>0</v>
      </c>
      <c r="U189">
        <f>VLOOKUP(B189,'SALARY DETALES'!$B$2:$S$475,18,0)</f>
        <v>22000</v>
      </c>
    </row>
    <row r="190" spans="1:21" x14ac:dyDescent="0.3">
      <c r="A190">
        <v>189</v>
      </c>
      <c r="B190">
        <v>80475</v>
      </c>
      <c r="C190" t="s">
        <v>2007</v>
      </c>
      <c r="D190" t="s">
        <v>1917</v>
      </c>
      <c r="E190" t="str">
        <f>VLOOKUP(B190,'MASTER DATA SLT'!$C$4:$H$544,6,0)</f>
        <v>BUS</v>
      </c>
      <c r="F190" t="str">
        <f>VLOOKUP(B190,'MASTER DATA SLT'!$C$4:$F$544,4,0)</f>
        <v>2024-11-04</v>
      </c>
      <c r="G190" t="str">
        <f>VLOOKUP(B190,'MASTER DATA SLT'!$C$4:$P$544,14,0)</f>
        <v>42401-6883575</v>
      </c>
      <c r="I190" t="str">
        <f>VLOOKUP(B190,'MASTER DATA SLT'!$C$4:$Q$544,15,0)</f>
        <v>0331-83454548</v>
      </c>
      <c r="J190">
        <f>VLOOKUP(B190,'MASTER DATA SLT'!$C$4:$R$544,16,0)</f>
        <v>0</v>
      </c>
      <c r="K190">
        <f>VLOOKUP(B190,'MASTER DATA SLT'!$C$4:$S$544,17,0)</f>
        <v>0</v>
      </c>
      <c r="N190" t="str">
        <f>VLOOKUP(B190,'SALARY DETALES'!$B$2:$C$475,2,0)</f>
        <v>Karahi</v>
      </c>
      <c r="O190" t="str">
        <f>VLOOKUP(B190,'SALARY DETALES'!$B$2:$D$475,3,0)</f>
        <v>HELPER</v>
      </c>
      <c r="Q190" t="str">
        <f>VLOOKUP(B190,'MASTER DATA SLT'!$C$4:$F$544,4,0)</f>
        <v>2024-11-04</v>
      </c>
      <c r="R190">
        <f>VLOOKUP(B190,'MASTER DATA SLT'!$C$4:$G$544,5,0)</f>
        <v>0</v>
      </c>
      <c r="U190">
        <f>VLOOKUP(B190,'SALARY DETALES'!$B$2:$S$475,18,0)</f>
        <v>25000</v>
      </c>
    </row>
    <row r="191" spans="1:21" x14ac:dyDescent="0.3">
      <c r="A191">
        <v>190</v>
      </c>
      <c r="B191">
        <v>80800</v>
      </c>
      <c r="C191" t="s">
        <v>2008</v>
      </c>
      <c r="D191" t="s">
        <v>2157</v>
      </c>
      <c r="E191" t="str">
        <f>VLOOKUP(B191,'MASTER DATA SLT'!$C$4:$H$544,6,0)</f>
        <v>BUS</v>
      </c>
      <c r="F191" t="str">
        <f>VLOOKUP(B191,'MASTER DATA SLT'!$C$4:$F$544,4,0)</f>
        <v>2025-04-19</v>
      </c>
      <c r="G191">
        <f>VLOOKUP(B191,'MASTER DATA SLT'!$C$4:$P$544,14,0)</f>
        <v>0</v>
      </c>
      <c r="I191">
        <f>VLOOKUP(B191,'MASTER DATA SLT'!$C$4:$Q$544,15,0)</f>
        <v>0</v>
      </c>
      <c r="J191">
        <f>VLOOKUP(B191,'MASTER DATA SLT'!$C$4:$R$544,16,0)</f>
        <v>0</v>
      </c>
      <c r="K191">
        <f>VLOOKUP(B191,'MASTER DATA SLT'!$C$4:$S$544,17,0)</f>
        <v>0</v>
      </c>
      <c r="N191" t="str">
        <f>VLOOKUP(B191,'SALARY DETALES'!$B$2:$C$475,2,0)</f>
        <v>Karahi</v>
      </c>
      <c r="O191" t="str">
        <f>VLOOKUP(B191,'SALARY DETALES'!$B$2:$D$475,3,0)</f>
        <v>helper</v>
      </c>
      <c r="Q191" t="str">
        <f>VLOOKUP(B191,'MASTER DATA SLT'!$C$4:$F$544,4,0)</f>
        <v>2025-04-19</v>
      </c>
      <c r="R191">
        <f>VLOOKUP(B191,'MASTER DATA SLT'!$C$4:$G$544,5,0)</f>
        <v>0</v>
      </c>
      <c r="U191">
        <f>VLOOKUP(B191,'SALARY DETALES'!$B$2:$S$475,18,0)</f>
        <v>15000</v>
      </c>
    </row>
    <row r="192" spans="1:21" x14ac:dyDescent="0.3">
      <c r="A192">
        <v>191</v>
      </c>
      <c r="B192">
        <v>17002</v>
      </c>
      <c r="C192" t="s">
        <v>2009</v>
      </c>
      <c r="D192" t="s">
        <v>1883</v>
      </c>
      <c r="E192" t="str">
        <f>VLOOKUP(B192,'MASTER DATA SLT'!$C$4:$H$544,6,0)</f>
        <v>BUS</v>
      </c>
      <c r="F192" t="str">
        <f>VLOOKUP(B192,'MASTER DATA SLT'!$C$4:$F$544,4,0)</f>
        <v>2021-12-30</v>
      </c>
      <c r="G192">
        <f>VLOOKUP(B192,'MASTER DATA SLT'!$C$4:$P$544,14,0)</f>
        <v>0</v>
      </c>
      <c r="I192">
        <f>VLOOKUP(B192,'MASTER DATA SLT'!$C$4:$Q$544,15,0)</f>
        <v>0</v>
      </c>
      <c r="J192">
        <f>VLOOKUP(B192,'MASTER DATA SLT'!$C$4:$R$544,16,0)</f>
        <v>0</v>
      </c>
      <c r="K192">
        <f>VLOOKUP(B192,'MASTER DATA SLT'!$C$4:$S$544,17,0)</f>
        <v>0</v>
      </c>
      <c r="N192" t="str">
        <f>VLOOKUP(B192,'SALARY DETALES'!$B$2:$C$475,2,0)</f>
        <v>KATAKAT</v>
      </c>
      <c r="O192" t="str">
        <f>VLOOKUP(B192,'SALARY DETALES'!$B$2:$D$475,3,0)</f>
        <v>Katakat Chef</v>
      </c>
      <c r="Q192" t="str">
        <f>VLOOKUP(B192,'MASTER DATA SLT'!$C$4:$F$544,4,0)</f>
        <v>2021-12-30</v>
      </c>
      <c r="R192">
        <f>VLOOKUP(B192,'MASTER DATA SLT'!$C$4:$G$544,5,0)</f>
        <v>0</v>
      </c>
      <c r="U192">
        <f>VLOOKUP(B192,'SALARY DETALES'!$B$2:$S$475,18,0)</f>
        <v>71500</v>
      </c>
    </row>
    <row r="193" spans="1:21" x14ac:dyDescent="0.3">
      <c r="A193">
        <v>192</v>
      </c>
      <c r="B193">
        <v>28024</v>
      </c>
      <c r="C193" t="s">
        <v>354</v>
      </c>
      <c r="D193" t="s">
        <v>2137</v>
      </c>
      <c r="E193" t="str">
        <f>VLOOKUP(B193,'MASTER DATA SLT'!$C$4:$H$544,6,0)</f>
        <v>NO</v>
      </c>
      <c r="F193" t="str">
        <f>VLOOKUP(B193,'MASTER DATA SLT'!$C$4:$F$544,4,0)</f>
        <v>2024-03-19</v>
      </c>
      <c r="G193">
        <f>VLOOKUP(B193,'MASTER DATA SLT'!$C$4:$P$544,14,0)</f>
        <v>0</v>
      </c>
      <c r="I193" t="str">
        <f>VLOOKUP(B193,'MASTER DATA SLT'!$C$4:$Q$544,15,0)</f>
        <v>03475593610</v>
      </c>
      <c r="J193">
        <f>VLOOKUP(B193,'MASTER DATA SLT'!$C$4:$R$544,16,0)</f>
        <v>0</v>
      </c>
      <c r="K193">
        <f>VLOOKUP(B193,'MASTER DATA SLT'!$C$4:$S$544,17,0)</f>
        <v>0</v>
      </c>
      <c r="N193" t="str">
        <f>VLOOKUP(B193,'SALARY DETALES'!$B$2:$C$475,2,0)</f>
        <v>KATAKAT</v>
      </c>
      <c r="O193" t="str">
        <f>VLOOKUP(B193,'SALARY DETALES'!$B$2:$D$475,3,0)</f>
        <v>Katakat Helper</v>
      </c>
      <c r="Q193" t="str">
        <f>VLOOKUP(B193,'MASTER DATA SLT'!$C$4:$F$544,4,0)</f>
        <v>2024-03-19</v>
      </c>
      <c r="R193">
        <f>VLOOKUP(B193,'MASTER DATA SLT'!$C$4:$G$544,5,0)</f>
        <v>30</v>
      </c>
      <c r="U193">
        <f>VLOOKUP(B193,'SALARY DETALES'!$B$2:$S$475,18,0)</f>
        <v>35000</v>
      </c>
    </row>
    <row r="194" spans="1:21" x14ac:dyDescent="0.3">
      <c r="A194">
        <v>193</v>
      </c>
      <c r="B194">
        <v>80556</v>
      </c>
      <c r="C194" t="s">
        <v>1845</v>
      </c>
      <c r="D194" t="s">
        <v>1890</v>
      </c>
      <c r="E194" t="str">
        <f>VLOOKUP(B194,'MASTER DATA SLT'!$C$4:$H$544,6,0)</f>
        <v>BUS</v>
      </c>
      <c r="F194" t="str">
        <f>VLOOKUP(B194,'MASTER DATA SLT'!$C$4:$F$544,4,0)</f>
        <v>2024-12-28</v>
      </c>
      <c r="G194" t="str">
        <f>VLOOKUP(B194,'MASTER DATA SLT'!$C$4:$P$544,14,0)</f>
        <v>42604-0434621</v>
      </c>
      <c r="I194" t="str">
        <f>VLOOKUP(B194,'MASTER DATA SLT'!$C$4:$Q$544,15,0)</f>
        <v>0311-1211839</v>
      </c>
      <c r="J194">
        <f>VLOOKUP(B194,'MASTER DATA SLT'!$C$4:$R$544,16,0)</f>
        <v>0</v>
      </c>
      <c r="K194">
        <f>VLOOKUP(B194,'MASTER DATA SLT'!$C$4:$S$544,17,0)</f>
        <v>0</v>
      </c>
      <c r="N194" t="str">
        <f>VLOOKUP(B194,'SALARY DETALES'!$B$2:$C$475,2,0)</f>
        <v>KATAKAT</v>
      </c>
      <c r="O194" t="str">
        <f>VLOOKUP(B194,'SALARY DETALES'!$B$2:$D$475,3,0)</f>
        <v>HELPER</v>
      </c>
      <c r="Q194" t="str">
        <f>VLOOKUP(B194,'MASTER DATA SLT'!$C$4:$F$544,4,0)</f>
        <v>2024-12-28</v>
      </c>
      <c r="R194">
        <f>VLOOKUP(B194,'MASTER DATA SLT'!$C$4:$G$544,5,0)</f>
        <v>0</v>
      </c>
      <c r="U194">
        <f>VLOOKUP(B194,'SALARY DETALES'!$B$2:$S$475,18,0)</f>
        <v>25000</v>
      </c>
    </row>
    <row r="195" spans="1:21" x14ac:dyDescent="0.3">
      <c r="A195">
        <v>194</v>
      </c>
      <c r="B195">
        <v>22236</v>
      </c>
      <c r="C195" t="s">
        <v>2010</v>
      </c>
      <c r="D195" t="s">
        <v>1863</v>
      </c>
      <c r="E195" t="str">
        <f>VLOOKUP(B195,'MASTER DATA SLT'!$C$4:$H$544,6,0)</f>
        <v>BUS</v>
      </c>
      <c r="F195" t="str">
        <f>VLOOKUP(B195,'MASTER DATA SLT'!$C$4:$F$544,4,0)</f>
        <v>2024-08-23</v>
      </c>
      <c r="G195">
        <f>VLOOKUP(B195,'MASTER DATA SLT'!$C$4:$P$544,14,0)</f>
        <v>0</v>
      </c>
      <c r="I195" t="str">
        <f>VLOOKUP(B195,'MASTER DATA SLT'!$C$4:$Q$544,15,0)</f>
        <v>0325-3443948</v>
      </c>
      <c r="J195">
        <f>VLOOKUP(B195,'MASTER DATA SLT'!$C$4:$R$544,16,0)</f>
        <v>0</v>
      </c>
      <c r="K195">
        <f>VLOOKUP(B195,'MASTER DATA SLT'!$C$4:$S$544,17,0)</f>
        <v>0</v>
      </c>
      <c r="N195" t="str">
        <f>VLOOKUP(B195,'SALARY DETALES'!$B$2:$C$475,2,0)</f>
        <v>Kunafa</v>
      </c>
      <c r="O195" t="str">
        <f>VLOOKUP(B195,'SALARY DETALES'!$B$2:$D$475,3,0)</f>
        <v>Kunafa Helper</v>
      </c>
      <c r="Q195" t="str">
        <f>VLOOKUP(B195,'MASTER DATA SLT'!$C$4:$F$544,4,0)</f>
        <v>2024-08-23</v>
      </c>
      <c r="R195">
        <f>VLOOKUP(B195,'MASTER DATA SLT'!$C$4:$G$544,5,0)</f>
        <v>0</v>
      </c>
      <c r="U195">
        <f>VLOOKUP(B195,'SALARY DETALES'!$B$2:$S$475,18,0)</f>
        <v>25000</v>
      </c>
    </row>
    <row r="196" spans="1:21" x14ac:dyDescent="0.3">
      <c r="A196">
        <v>195</v>
      </c>
      <c r="B196">
        <v>80461</v>
      </c>
      <c r="C196" t="s">
        <v>2011</v>
      </c>
      <c r="D196" t="s">
        <v>2012</v>
      </c>
      <c r="E196" t="str">
        <f>VLOOKUP(B196,'MASTER DATA SLT'!$C$4:$H$544,6,0)</f>
        <v>BUS</v>
      </c>
      <c r="F196" t="str">
        <f>VLOOKUP(B196,'MASTER DATA SLT'!$C$4:$F$544,4,0)</f>
        <v>2024-10-19</v>
      </c>
      <c r="G196" t="str">
        <f>VLOOKUP(B196,'MASTER DATA SLT'!$C$4:$P$544,14,0)</f>
        <v>5340-53634966</v>
      </c>
      <c r="I196" t="str">
        <f>VLOOKUP(B196,'MASTER DATA SLT'!$C$4:$Q$544,15,0)</f>
        <v>0325-8985800</v>
      </c>
      <c r="J196">
        <f>VLOOKUP(B196,'MASTER DATA SLT'!$C$4:$R$544,16,0)</f>
        <v>0</v>
      </c>
      <c r="K196">
        <f>VLOOKUP(B196,'MASTER DATA SLT'!$C$4:$S$544,17,0)</f>
        <v>0</v>
      </c>
      <c r="N196" t="str">
        <f>VLOOKUP(B196,'SALARY DETALES'!$B$2:$C$475,2,0)</f>
        <v>Kunafa</v>
      </c>
      <c r="O196" t="str">
        <f>VLOOKUP(B196,'SALARY DETALES'!$B$2:$D$475,3,0)</f>
        <v>KUNAFA HELPER</v>
      </c>
      <c r="Q196" t="str">
        <f>VLOOKUP(B196,'MASTER DATA SLT'!$C$4:$F$544,4,0)</f>
        <v>2024-10-19</v>
      </c>
      <c r="R196">
        <f>VLOOKUP(B196,'MASTER DATA SLT'!$C$4:$G$544,5,0)</f>
        <v>0</v>
      </c>
      <c r="U196">
        <f>VLOOKUP(B196,'SALARY DETALES'!$B$2:$S$475,18,0)</f>
        <v>20000</v>
      </c>
    </row>
    <row r="197" spans="1:21" x14ac:dyDescent="0.3">
      <c r="A197">
        <v>196</v>
      </c>
      <c r="B197">
        <v>80802</v>
      </c>
      <c r="C197" t="s">
        <v>361</v>
      </c>
      <c r="D197" t="s">
        <v>2137</v>
      </c>
      <c r="E197" t="str">
        <f>VLOOKUP(B197,'MASTER DATA SLT'!$C$4:$H$544,6,0)</f>
        <v>BUS</v>
      </c>
      <c r="F197" t="str">
        <f>VLOOKUP(B197,'MASTER DATA SLT'!$C$4:$F$544,4,0)</f>
        <v>2025-04-20</v>
      </c>
      <c r="G197">
        <f>VLOOKUP(B197,'MASTER DATA SLT'!$C$4:$P$544,14,0)</f>
        <v>0</v>
      </c>
      <c r="I197">
        <f>VLOOKUP(B197,'MASTER DATA SLT'!$C$4:$Q$544,15,0)</f>
        <v>0</v>
      </c>
      <c r="J197">
        <f>VLOOKUP(B197,'MASTER DATA SLT'!$C$4:$R$544,16,0)</f>
        <v>0</v>
      </c>
      <c r="K197">
        <f>VLOOKUP(B197,'MASTER DATA SLT'!$C$4:$S$544,17,0)</f>
        <v>0</v>
      </c>
      <c r="N197" t="str">
        <f>VLOOKUP(B197,'SALARY DETALES'!$B$2:$C$475,2,0)</f>
        <v>Kunafa</v>
      </c>
      <c r="O197" t="str">
        <f>VLOOKUP(B197,'SALARY DETALES'!$B$2:$D$475,3,0)</f>
        <v>INTERNSHIP</v>
      </c>
      <c r="Q197" t="str">
        <f>VLOOKUP(B197,'MASTER DATA SLT'!$C$4:$F$544,4,0)</f>
        <v>2025-04-20</v>
      </c>
      <c r="R197">
        <f>VLOOKUP(B197,'MASTER DATA SLT'!$C$4:$G$544,5,0)</f>
        <v>0</v>
      </c>
      <c r="U197">
        <f>VLOOKUP(B197,'SALARY DETALES'!$B$2:$S$475,18,0)</f>
        <v>15000</v>
      </c>
    </row>
    <row r="198" spans="1:21" x14ac:dyDescent="0.3">
      <c r="A198">
        <v>197</v>
      </c>
      <c r="B198">
        <v>80713</v>
      </c>
      <c r="C198" t="s">
        <v>1967</v>
      </c>
      <c r="D198" t="s">
        <v>1874</v>
      </c>
      <c r="E198" t="str">
        <f>VLOOKUP(B198,'MASTER DATA SLT'!$C$4:$H$544,6,0)</f>
        <v>BUS</v>
      </c>
      <c r="F198" t="str">
        <f>VLOOKUP(B198,'MASTER DATA SLT'!$C$4:$F$544,4,0)</f>
        <v>2025-03-17</v>
      </c>
      <c r="G198">
        <f>VLOOKUP(B198,'MASTER DATA SLT'!$C$4:$P$544,14,0)</f>
        <v>0</v>
      </c>
      <c r="I198">
        <f>VLOOKUP(B198,'MASTER DATA SLT'!$C$4:$Q$544,15,0)</f>
        <v>0</v>
      </c>
      <c r="J198">
        <f>VLOOKUP(B198,'MASTER DATA SLT'!$C$4:$R$544,16,0)</f>
        <v>0</v>
      </c>
      <c r="K198">
        <f>VLOOKUP(B198,'MASTER DATA SLT'!$C$4:$S$544,17,0)</f>
        <v>0</v>
      </c>
      <c r="N198" t="str">
        <f>VLOOKUP(B198,'SALARY DETALES'!$B$2:$C$475,2,0)</f>
        <v>Leaf</v>
      </c>
      <c r="O198" t="str">
        <f>VLOOKUP(B198,'SALARY DETALES'!$B$2:$D$475,3,0)</f>
        <v>B/W</v>
      </c>
      <c r="Q198" t="str">
        <f>VLOOKUP(B198,'MASTER DATA SLT'!$C$4:$F$544,4,0)</f>
        <v>2025-03-17</v>
      </c>
      <c r="R198">
        <f>VLOOKUP(B198,'MASTER DATA SLT'!$C$4:$G$544,5,0)</f>
        <v>0</v>
      </c>
      <c r="U198">
        <f>VLOOKUP(B198,'SALARY DETALES'!$B$2:$S$475,18,0)</f>
        <v>16000</v>
      </c>
    </row>
    <row r="199" spans="1:21" x14ac:dyDescent="0.3">
      <c r="A199">
        <v>198</v>
      </c>
      <c r="B199">
        <v>80727</v>
      </c>
      <c r="C199" t="s">
        <v>2013</v>
      </c>
      <c r="D199" t="s">
        <v>1869</v>
      </c>
      <c r="E199" t="str">
        <f>VLOOKUP(B199,'MASTER DATA SLT'!$C$4:$H$544,6,0)</f>
        <v>BUS</v>
      </c>
      <c r="F199" t="str">
        <f>VLOOKUP(B199,'MASTER DATA SLT'!$C$4:$F$544,4,0)</f>
        <v>2025-03-13</v>
      </c>
      <c r="G199">
        <f>VLOOKUP(B199,'MASTER DATA SLT'!$C$4:$P$544,14,0)</f>
        <v>0</v>
      </c>
      <c r="I199">
        <f>VLOOKUP(B199,'MASTER DATA SLT'!$C$4:$Q$544,15,0)</f>
        <v>0</v>
      </c>
      <c r="J199">
        <f>VLOOKUP(B199,'MASTER DATA SLT'!$C$4:$R$544,16,0)</f>
        <v>0</v>
      </c>
      <c r="K199">
        <f>VLOOKUP(B199,'MASTER DATA SLT'!$C$4:$S$544,17,0)</f>
        <v>0</v>
      </c>
      <c r="N199" t="str">
        <f>VLOOKUP(B199,'SALARY DETALES'!$B$2:$C$475,2,0)</f>
        <v>Leaf</v>
      </c>
      <c r="O199" t="str">
        <f>VLOOKUP(B199,'SALARY DETALES'!$B$2:$D$475,3,0)</f>
        <v>B/W</v>
      </c>
      <c r="Q199" t="str">
        <f>VLOOKUP(B199,'MASTER DATA SLT'!$C$4:$F$544,4,0)</f>
        <v>2025-03-13</v>
      </c>
      <c r="R199">
        <f>VLOOKUP(B199,'MASTER DATA SLT'!$C$4:$G$544,5,0)</f>
        <v>0</v>
      </c>
      <c r="U199">
        <f>VLOOKUP(B199,'SALARY DETALES'!$B$2:$S$475,18,0)</f>
        <v>16000</v>
      </c>
    </row>
    <row r="200" spans="1:21" x14ac:dyDescent="0.3">
      <c r="A200">
        <v>199</v>
      </c>
      <c r="B200">
        <v>80746</v>
      </c>
      <c r="C200" t="s">
        <v>1845</v>
      </c>
      <c r="D200" t="s">
        <v>2014</v>
      </c>
      <c r="E200" t="str">
        <f>VLOOKUP(B200,'MASTER DATA SLT'!$C$4:$H$544,6,0)</f>
        <v>BUS</v>
      </c>
      <c r="F200" t="str">
        <f>VLOOKUP(B200,'MASTER DATA SLT'!$C$4:$F$544,4,0)</f>
        <v>2025-03-31</v>
      </c>
      <c r="G200">
        <f>VLOOKUP(B200,'MASTER DATA SLT'!$C$4:$P$544,14,0)</f>
        <v>0</v>
      </c>
      <c r="I200" t="str">
        <f>VLOOKUP(B200,'MASTER DATA SLT'!$C$4:$Q$544,15,0)</f>
        <v>0340-2656515</v>
      </c>
      <c r="J200">
        <f>VLOOKUP(B200,'MASTER DATA SLT'!$C$4:$R$544,16,0)</f>
        <v>0</v>
      </c>
      <c r="K200">
        <f>VLOOKUP(B200,'MASTER DATA SLT'!$C$4:$S$544,17,0)</f>
        <v>0</v>
      </c>
      <c r="N200" t="str">
        <f>VLOOKUP(B200,'SALARY DETALES'!$B$2:$C$475,2,0)</f>
        <v>Leaf</v>
      </c>
      <c r="O200" t="str">
        <f>VLOOKUP(B200,'SALARY DETALES'!$B$2:$D$475,3,0)</f>
        <v>B/W</v>
      </c>
      <c r="Q200" t="str">
        <f>VLOOKUP(B200,'MASTER DATA SLT'!$C$4:$F$544,4,0)</f>
        <v>2025-03-31</v>
      </c>
      <c r="R200">
        <f>VLOOKUP(B200,'MASTER DATA SLT'!$C$4:$G$544,5,0)</f>
        <v>0</v>
      </c>
      <c r="U200">
        <f>VLOOKUP(B200,'SALARY DETALES'!$B$2:$S$475,18,0)</f>
        <v>16000</v>
      </c>
    </row>
    <row r="201" spans="1:21" x14ac:dyDescent="0.3">
      <c r="A201">
        <v>200</v>
      </c>
      <c r="B201">
        <v>80775</v>
      </c>
      <c r="C201" t="s">
        <v>1848</v>
      </c>
      <c r="D201" t="s">
        <v>2158</v>
      </c>
      <c r="E201" t="str">
        <f>VLOOKUP(B201,'MASTER DATA SLT'!$C$4:$H$544,6,0)</f>
        <v>BUS</v>
      </c>
      <c r="F201" t="str">
        <f>VLOOKUP(B201,'MASTER DATA SLT'!$C$4:$F$544,4,0)</f>
        <v>2025-04-19</v>
      </c>
      <c r="G201">
        <f>VLOOKUP(B201,'MASTER DATA SLT'!$C$4:$P$544,14,0)</f>
        <v>0</v>
      </c>
      <c r="I201">
        <f>VLOOKUP(B201,'MASTER DATA SLT'!$C$4:$Q$544,15,0)</f>
        <v>0</v>
      </c>
      <c r="J201">
        <f>VLOOKUP(B201,'MASTER DATA SLT'!$C$4:$R$544,16,0)</f>
        <v>0</v>
      </c>
      <c r="K201">
        <f>VLOOKUP(B201,'MASTER DATA SLT'!$C$4:$S$544,17,0)</f>
        <v>0</v>
      </c>
      <c r="N201" t="str">
        <f>VLOOKUP(B201,'SALARY DETALES'!$B$2:$C$475,2,0)</f>
        <v>Leaf</v>
      </c>
      <c r="O201" t="str">
        <f>VLOOKUP(B201,'SALARY DETALES'!$B$2:$D$475,3,0)</f>
        <v>B/W</v>
      </c>
      <c r="Q201" t="str">
        <f>VLOOKUP(B201,'MASTER DATA SLT'!$C$4:$F$544,4,0)</f>
        <v>2025-04-19</v>
      </c>
      <c r="R201">
        <f>VLOOKUP(B201,'MASTER DATA SLT'!$C$4:$G$544,5,0)</f>
        <v>0</v>
      </c>
      <c r="U201">
        <f>VLOOKUP(B201,'SALARY DETALES'!$B$2:$S$475,18,0)</f>
        <v>16000</v>
      </c>
    </row>
    <row r="202" spans="1:21" x14ac:dyDescent="0.3">
      <c r="A202">
        <v>201</v>
      </c>
      <c r="B202">
        <v>80792</v>
      </c>
      <c r="C202" t="s">
        <v>2015</v>
      </c>
      <c r="D202" t="s">
        <v>1846</v>
      </c>
      <c r="E202" t="str">
        <f>VLOOKUP(B202,'MASTER DATA SLT'!$C$4:$H$544,6,0)</f>
        <v>BUS</v>
      </c>
      <c r="F202" t="str">
        <f>VLOOKUP(B202,'MASTER DATA SLT'!$C$4:$F$544,4,0)</f>
        <v>2025-04-24</v>
      </c>
      <c r="G202">
        <f>VLOOKUP(B202,'MASTER DATA SLT'!$C$4:$P$544,14,0)</f>
        <v>0</v>
      </c>
      <c r="I202">
        <f>VLOOKUP(B202,'MASTER DATA SLT'!$C$4:$Q$544,15,0)</f>
        <v>0</v>
      </c>
      <c r="J202">
        <f>VLOOKUP(B202,'MASTER DATA SLT'!$C$4:$R$544,16,0)</f>
        <v>0</v>
      </c>
      <c r="K202">
        <f>VLOOKUP(B202,'MASTER DATA SLT'!$C$4:$S$544,17,0)</f>
        <v>0</v>
      </c>
      <c r="N202" t="str">
        <f>VLOOKUP(B202,'SALARY DETALES'!$B$2:$C$475,2,0)</f>
        <v>Leaf</v>
      </c>
      <c r="O202" t="str">
        <f>VLOOKUP(B202,'SALARY DETALES'!$B$2:$D$475,3,0)</f>
        <v>B/W</v>
      </c>
      <c r="Q202" t="str">
        <f>VLOOKUP(B202,'MASTER DATA SLT'!$C$4:$F$544,4,0)</f>
        <v>2025-04-24</v>
      </c>
      <c r="R202">
        <f>VLOOKUP(B202,'MASTER DATA SLT'!$C$4:$G$544,5,0)</f>
        <v>0</v>
      </c>
      <c r="U202">
        <f>VLOOKUP(B202,'SALARY DETALES'!$B$2:$S$475,18,0)</f>
        <v>16000</v>
      </c>
    </row>
    <row r="203" spans="1:21" x14ac:dyDescent="0.3">
      <c r="A203">
        <v>202</v>
      </c>
      <c r="B203">
        <v>31001</v>
      </c>
      <c r="C203" t="s">
        <v>1897</v>
      </c>
      <c r="D203" t="s">
        <v>1874</v>
      </c>
      <c r="E203" t="str">
        <f>VLOOKUP(B203,'MASTER DATA SLT'!$C$4:$H$544,6,0)</f>
        <v>NO</v>
      </c>
      <c r="F203" t="str">
        <f>VLOOKUP(B203,'MASTER DATA SLT'!$C$4:$F$544,4,0)</f>
        <v>2021-11-26</v>
      </c>
      <c r="G203">
        <f>VLOOKUP(B203,'MASTER DATA SLT'!$C$4:$P$544,14,0)</f>
        <v>0</v>
      </c>
      <c r="I203">
        <f>VLOOKUP(B203,'MASTER DATA SLT'!$C$4:$Q$544,15,0)</f>
        <v>0</v>
      </c>
      <c r="J203">
        <f>VLOOKUP(B203,'MASTER DATA SLT'!$C$4:$R$544,16,0)</f>
        <v>0</v>
      </c>
      <c r="K203">
        <f>VLOOKUP(B203,'MASTER DATA SLT'!$C$4:$S$544,17,0)</f>
        <v>0</v>
      </c>
      <c r="N203" t="str">
        <f>VLOOKUP(B203,'SALARY DETALES'!$B$2:$C$475,2,0)</f>
        <v>Maintenance</v>
      </c>
      <c r="O203" t="str">
        <f>VLOOKUP(B203,'SALARY DETALES'!$B$2:$D$475,3,0)</f>
        <v>PLUMBER</v>
      </c>
      <c r="Q203" t="str">
        <f>VLOOKUP(B203,'MASTER DATA SLT'!$C$4:$F$544,4,0)</f>
        <v>2021-11-26</v>
      </c>
      <c r="R203">
        <f>VLOOKUP(B203,'MASTER DATA SLT'!$C$4:$G$544,5,0)</f>
        <v>615</v>
      </c>
      <c r="U203">
        <f>VLOOKUP(B203,'SALARY DETALES'!$B$2:$S$475,18,0)</f>
        <v>60000</v>
      </c>
    </row>
    <row r="204" spans="1:21" x14ac:dyDescent="0.3">
      <c r="A204">
        <v>203</v>
      </c>
      <c r="B204">
        <v>34003</v>
      </c>
      <c r="C204" t="s">
        <v>372</v>
      </c>
      <c r="D204" t="s">
        <v>2137</v>
      </c>
      <c r="E204" t="str">
        <f>VLOOKUP(B204,'MASTER DATA SLT'!$C$4:$H$544,6,0)</f>
        <v>NO</v>
      </c>
      <c r="F204" t="str">
        <f>VLOOKUP(B204,'MASTER DATA SLT'!$C$4:$F$544,4,0)</f>
        <v>2021-12-14</v>
      </c>
      <c r="G204">
        <f>VLOOKUP(B204,'MASTER DATA SLT'!$C$4:$P$544,14,0)</f>
        <v>0</v>
      </c>
      <c r="I204">
        <f>VLOOKUP(B204,'MASTER DATA SLT'!$C$4:$Q$544,15,0)</f>
        <v>0</v>
      </c>
      <c r="J204">
        <f>VLOOKUP(B204,'MASTER DATA SLT'!$C$4:$R$544,16,0)</f>
        <v>0</v>
      </c>
      <c r="K204">
        <f>VLOOKUP(B204,'MASTER DATA SLT'!$C$4:$S$544,17,0)</f>
        <v>0</v>
      </c>
      <c r="N204" t="str">
        <f>VLOOKUP(B204,'SALARY DETALES'!$B$2:$C$475,2,0)</f>
        <v>Maintenance</v>
      </c>
      <c r="O204" t="str">
        <f>VLOOKUP(B204,'SALARY DETALES'!$B$2:$D$475,3,0)</f>
        <v>Maintaince Incharge</v>
      </c>
      <c r="Q204" t="str">
        <f>VLOOKUP(B204,'MASTER DATA SLT'!$C$4:$F$544,4,0)</f>
        <v>2021-12-14</v>
      </c>
      <c r="R204">
        <f>VLOOKUP(B204,'MASTER DATA SLT'!$C$4:$G$544,5,0)</f>
        <v>420</v>
      </c>
      <c r="U204">
        <f>VLOOKUP(B204,'SALARY DETALES'!$B$2:$S$475,18,0)</f>
        <v>85000</v>
      </c>
    </row>
    <row r="205" spans="1:21" x14ac:dyDescent="0.3">
      <c r="A205">
        <v>204</v>
      </c>
      <c r="B205">
        <v>34007</v>
      </c>
      <c r="C205" t="s">
        <v>1919</v>
      </c>
      <c r="D205" t="s">
        <v>1846</v>
      </c>
      <c r="E205" t="str">
        <f>VLOOKUP(B205,'MASTER DATA SLT'!$C$4:$H$544,6,0)</f>
        <v>NO</v>
      </c>
      <c r="F205" t="str">
        <f>VLOOKUP(B205,'MASTER DATA SLT'!$C$4:$F$544,4,0)</f>
        <v>2022-06-08</v>
      </c>
      <c r="G205">
        <f>VLOOKUP(B205,'MASTER DATA SLT'!$C$4:$P$544,14,0)</f>
        <v>0</v>
      </c>
      <c r="I205">
        <f>VLOOKUP(B205,'MASTER DATA SLT'!$C$4:$Q$544,15,0)</f>
        <v>0</v>
      </c>
      <c r="J205">
        <f>VLOOKUP(B205,'MASTER DATA SLT'!$C$4:$R$544,16,0)</f>
        <v>0</v>
      </c>
      <c r="K205">
        <f>VLOOKUP(B205,'MASTER DATA SLT'!$C$4:$S$544,17,0)</f>
        <v>0</v>
      </c>
      <c r="N205" t="str">
        <f>VLOOKUP(B205,'SALARY DETALES'!$B$2:$C$475,2,0)</f>
        <v>Maintenance</v>
      </c>
      <c r="O205" t="str">
        <f>VLOOKUP(B205,'SALARY DETALES'!$B$2:$D$475,3,0)</f>
        <v>CARPENTER</v>
      </c>
      <c r="Q205" t="str">
        <f>VLOOKUP(B205,'MASTER DATA SLT'!$C$4:$F$544,4,0)</f>
        <v>2022-06-08</v>
      </c>
      <c r="R205">
        <f>VLOOKUP(B205,'MASTER DATA SLT'!$C$4:$G$544,5,0)</f>
        <v>240</v>
      </c>
      <c r="U205">
        <f>VLOOKUP(B205,'SALARY DETALES'!$B$2:$S$475,18,0)</f>
        <v>45000</v>
      </c>
    </row>
    <row r="206" spans="1:21" x14ac:dyDescent="0.3">
      <c r="A206">
        <v>205</v>
      </c>
      <c r="B206">
        <v>34011</v>
      </c>
      <c r="C206" t="s">
        <v>571</v>
      </c>
      <c r="D206" t="s">
        <v>1863</v>
      </c>
      <c r="E206" t="str">
        <f>VLOOKUP(B206,'MASTER DATA SLT'!$C$4:$H$544,6,0)</f>
        <v>NO</v>
      </c>
      <c r="F206" t="str">
        <f>VLOOKUP(B206,'MASTER DATA SLT'!$C$4:$F$544,4,0)</f>
        <v>2022-05-27</v>
      </c>
      <c r="G206">
        <f>VLOOKUP(B206,'MASTER DATA SLT'!$C$4:$P$544,14,0)</f>
        <v>0</v>
      </c>
      <c r="I206">
        <f>VLOOKUP(B206,'MASTER DATA SLT'!$C$4:$Q$544,15,0)</f>
        <v>0</v>
      </c>
      <c r="J206">
        <f>VLOOKUP(B206,'MASTER DATA SLT'!$C$4:$R$544,16,0)</f>
        <v>0</v>
      </c>
      <c r="K206">
        <f>VLOOKUP(B206,'MASTER DATA SLT'!$C$4:$S$544,17,0)</f>
        <v>0</v>
      </c>
      <c r="N206" t="str">
        <f>VLOOKUP(B206,'SALARY DETALES'!$B$2:$C$475,2,0)</f>
        <v>Maintenance</v>
      </c>
      <c r="O206" t="str">
        <f>VLOOKUP(B206,'SALARY DETALES'!$B$2:$D$475,3,0)</f>
        <v>Welder</v>
      </c>
      <c r="Q206" t="str">
        <f>VLOOKUP(B206,'MASTER DATA SLT'!$C$4:$F$544,4,0)</f>
        <v>2022-05-27</v>
      </c>
      <c r="R206">
        <f>VLOOKUP(B206,'MASTER DATA SLT'!$C$4:$G$544,5,0)</f>
        <v>240</v>
      </c>
      <c r="U206">
        <f>VLOOKUP(B206,'SALARY DETALES'!$B$2:$S$475,18,0)</f>
        <v>35000</v>
      </c>
    </row>
    <row r="207" spans="1:21" x14ac:dyDescent="0.3">
      <c r="A207">
        <v>206</v>
      </c>
      <c r="B207">
        <v>34021</v>
      </c>
      <c r="C207" t="s">
        <v>378</v>
      </c>
      <c r="D207" t="s">
        <v>2137</v>
      </c>
      <c r="E207" t="str">
        <f>VLOOKUP(B207,'MASTER DATA SLT'!$C$4:$H$544,6,0)</f>
        <v>NO</v>
      </c>
      <c r="F207" t="str">
        <f>VLOOKUP(B207,'MASTER DATA SLT'!$C$4:$F$544,4,0)</f>
        <v>2025-04-09</v>
      </c>
      <c r="G207">
        <f>VLOOKUP(B207,'MASTER DATA SLT'!$C$4:$P$544,14,0)</f>
        <v>0</v>
      </c>
      <c r="I207" t="str">
        <f>VLOOKUP(B207,'MASTER DATA SLT'!$C$4:$Q$544,15,0)</f>
        <v>0315-1203261</v>
      </c>
      <c r="J207">
        <f>VLOOKUP(B207,'MASTER DATA SLT'!$C$4:$R$544,16,0)</f>
        <v>0</v>
      </c>
      <c r="K207">
        <f>VLOOKUP(B207,'MASTER DATA SLT'!$C$4:$S$544,17,0)</f>
        <v>0</v>
      </c>
      <c r="N207" t="str">
        <f>VLOOKUP(B207,'SALARY DETALES'!$B$2:$C$475,2,0)</f>
        <v>Maintenance</v>
      </c>
      <c r="O207" t="str">
        <f>VLOOKUP(B207,'SALARY DETALES'!$B$2:$D$475,3,0)</f>
        <v>PLUMBER HELPER</v>
      </c>
      <c r="Q207" t="str">
        <f>VLOOKUP(B207,'MASTER DATA SLT'!$C$4:$F$544,4,0)</f>
        <v>2025-04-09</v>
      </c>
      <c r="R207">
        <f>VLOOKUP(B207,'MASTER DATA SLT'!$C$4:$G$544,5,0)</f>
        <v>360</v>
      </c>
      <c r="U207">
        <f>VLOOKUP(B207,'SALARY DETALES'!$B$2:$S$475,18,0)</f>
        <v>30000</v>
      </c>
    </row>
    <row r="208" spans="1:21" x14ac:dyDescent="0.3">
      <c r="A208">
        <v>207</v>
      </c>
      <c r="B208">
        <v>34025</v>
      </c>
      <c r="C208" t="s">
        <v>2016</v>
      </c>
      <c r="D208" t="s">
        <v>2159</v>
      </c>
      <c r="E208" t="str">
        <f>VLOOKUP(B208,'MASTER DATA SLT'!$C$4:$H$544,6,0)</f>
        <v>NO</v>
      </c>
      <c r="F208" t="str">
        <f>VLOOKUP(B208,'MASTER DATA SLT'!$C$4:$F$544,4,0)</f>
        <v>2023-11-17</v>
      </c>
      <c r="G208">
        <f>VLOOKUP(B208,'MASTER DATA SLT'!$C$4:$P$544,14,0)</f>
        <v>0</v>
      </c>
      <c r="I208">
        <f>VLOOKUP(B208,'MASTER DATA SLT'!$C$4:$Q$544,15,0)</f>
        <v>0</v>
      </c>
      <c r="J208">
        <f>VLOOKUP(B208,'MASTER DATA SLT'!$C$4:$R$544,16,0)</f>
        <v>0</v>
      </c>
      <c r="K208">
        <f>VLOOKUP(B208,'MASTER DATA SLT'!$C$4:$S$544,17,0)</f>
        <v>0</v>
      </c>
      <c r="N208" t="str">
        <f>VLOOKUP(B208,'SALARY DETALES'!$B$2:$C$475,2,0)</f>
        <v>Maintenance</v>
      </c>
      <c r="O208" t="str">
        <f>VLOOKUP(B208,'SALARY DETALES'!$B$2:$D$475,3,0)</f>
        <v>AC HELPER</v>
      </c>
      <c r="Q208" t="str">
        <f>VLOOKUP(B208,'MASTER DATA SLT'!$C$4:$F$544,4,0)</f>
        <v>2023-11-17</v>
      </c>
      <c r="R208">
        <f>VLOOKUP(B208,'MASTER DATA SLT'!$C$4:$G$544,5,0)</f>
        <v>660</v>
      </c>
      <c r="U208">
        <f>VLOOKUP(B208,'SALARY DETALES'!$B$2:$S$475,18,0)</f>
        <v>30000</v>
      </c>
    </row>
    <row r="209" spans="1:21" x14ac:dyDescent="0.3">
      <c r="A209">
        <v>208</v>
      </c>
      <c r="B209">
        <v>34028</v>
      </c>
      <c r="C209" t="s">
        <v>382</v>
      </c>
      <c r="D209" t="s">
        <v>2137</v>
      </c>
      <c r="E209" t="str">
        <f>VLOOKUP(B209,'MASTER DATA SLT'!$C$4:$H$544,6,0)</f>
        <v>NO</v>
      </c>
      <c r="F209" t="str">
        <f>VLOOKUP(B209,'MASTER DATA SLT'!$C$4:$F$544,4,0)</f>
        <v>2021-02-28</v>
      </c>
      <c r="G209">
        <f>VLOOKUP(B209,'MASTER DATA SLT'!$C$4:$P$544,14,0)</f>
        <v>0</v>
      </c>
      <c r="I209">
        <f>VLOOKUP(B209,'MASTER DATA SLT'!$C$4:$Q$544,15,0)</f>
        <v>0</v>
      </c>
      <c r="J209">
        <f>VLOOKUP(B209,'MASTER DATA SLT'!$C$4:$R$544,16,0)</f>
        <v>0</v>
      </c>
      <c r="K209">
        <f>VLOOKUP(B209,'MASTER DATA SLT'!$C$4:$S$544,17,0)</f>
        <v>0</v>
      </c>
      <c r="N209" t="str">
        <f>VLOOKUP(B209,'SALARY DETALES'!$B$2:$C$475,2,0)</f>
        <v>Maintenance</v>
      </c>
      <c r="O209" t="str">
        <f>VLOOKUP(B209,'SALARY DETALES'!$B$2:$D$475,3,0)</f>
        <v>MALI</v>
      </c>
      <c r="Q209" t="str">
        <f>VLOOKUP(B209,'MASTER DATA SLT'!$C$4:$F$544,4,0)</f>
        <v>2021-02-28</v>
      </c>
      <c r="R209">
        <f>VLOOKUP(B209,'MASTER DATA SLT'!$C$4:$G$544,5,0)</f>
        <v>360</v>
      </c>
      <c r="U209">
        <f>VLOOKUP(B209,'SALARY DETALES'!$B$2:$S$475,18,0)</f>
        <v>55000</v>
      </c>
    </row>
    <row r="210" spans="1:21" x14ac:dyDescent="0.3">
      <c r="A210">
        <v>209</v>
      </c>
      <c r="B210">
        <v>80445</v>
      </c>
      <c r="C210" t="s">
        <v>627</v>
      </c>
      <c r="D210" t="s">
        <v>1863</v>
      </c>
      <c r="E210" t="str">
        <f>VLOOKUP(B210,'MASTER DATA SLT'!$C$4:$H$544,6,0)</f>
        <v>NO</v>
      </c>
      <c r="F210" t="str">
        <f>VLOOKUP(B210,'MASTER DATA SLT'!$C$4:$F$544,4,0)</f>
        <v>2024-10-15</v>
      </c>
      <c r="G210" t="str">
        <f>VLOOKUP(B210,'MASTER DATA SLT'!$C$4:$P$544,14,0)</f>
        <v>41304-4474151</v>
      </c>
      <c r="I210" t="str">
        <f>VLOOKUP(B210,'MASTER DATA SLT'!$C$4:$Q$544,15,0)</f>
        <v>03199240484</v>
      </c>
      <c r="J210">
        <f>VLOOKUP(B210,'MASTER DATA SLT'!$C$4:$R$544,16,0)</f>
        <v>0</v>
      </c>
      <c r="K210">
        <f>VLOOKUP(B210,'MASTER DATA SLT'!$C$4:$S$544,17,0)</f>
        <v>0</v>
      </c>
      <c r="N210" t="str">
        <f>VLOOKUP(B210,'SALARY DETALES'!$B$2:$C$475,2,0)</f>
        <v>Maintenance</v>
      </c>
      <c r="O210" t="str">
        <f>VLOOKUP(B210,'SALARY DETALES'!$B$2:$D$475,3,0)</f>
        <v>PAINTER</v>
      </c>
      <c r="Q210" t="str">
        <f>VLOOKUP(B210,'MASTER DATA SLT'!$C$4:$F$544,4,0)</f>
        <v>2024-10-15</v>
      </c>
      <c r="R210">
        <f>VLOOKUP(B210,'MASTER DATA SLT'!$C$4:$G$544,5,0)</f>
        <v>150</v>
      </c>
      <c r="U210">
        <f>VLOOKUP(B210,'SALARY DETALES'!$B$2:$S$475,18,0)</f>
        <v>33000</v>
      </c>
    </row>
    <row r="211" spans="1:21" x14ac:dyDescent="0.3">
      <c r="A211">
        <v>210</v>
      </c>
      <c r="B211">
        <v>80521</v>
      </c>
      <c r="C211" t="s">
        <v>386</v>
      </c>
      <c r="D211" t="s">
        <v>2137</v>
      </c>
      <c r="E211" t="str">
        <f>VLOOKUP(B211,'MASTER DATA SLT'!$C$4:$H$544,6,0)</f>
        <v>NO</v>
      </c>
      <c r="F211" t="str">
        <f>VLOOKUP(B211,'MASTER DATA SLT'!$C$4:$F$544,4,0)</f>
        <v>2024-11-26</v>
      </c>
      <c r="G211" t="str">
        <f>VLOOKUP(B211,'MASTER DATA SLT'!$C$4:$P$544,14,0)</f>
        <v>41202-8096475</v>
      </c>
      <c r="I211" t="str">
        <f>VLOOKUP(B211,'MASTER DATA SLT'!$C$4:$Q$544,15,0)</f>
        <v>03101322742</v>
      </c>
      <c r="J211">
        <f>VLOOKUP(B211,'MASTER DATA SLT'!$C$4:$R$544,16,0)</f>
        <v>0</v>
      </c>
      <c r="K211">
        <f>VLOOKUP(B211,'MASTER DATA SLT'!$C$4:$S$544,17,0)</f>
        <v>0</v>
      </c>
      <c r="N211" t="str">
        <f>VLOOKUP(B211,'SALARY DETALES'!$B$2:$C$475,2,0)</f>
        <v>Maintenance</v>
      </c>
      <c r="O211" t="str">
        <f>VLOOKUP(B211,'SALARY DETALES'!$B$2:$D$475,3,0)</f>
        <v>GENERATOR OPERATOR</v>
      </c>
      <c r="Q211" t="str">
        <f>VLOOKUP(B211,'MASTER DATA SLT'!$C$4:$F$544,4,0)</f>
        <v>2024-11-26</v>
      </c>
      <c r="R211">
        <f>VLOOKUP(B211,'MASTER DATA SLT'!$C$4:$G$544,5,0)</f>
        <v>420</v>
      </c>
      <c r="U211">
        <f>VLOOKUP(B211,'SALARY DETALES'!$B$2:$S$475,18,0)</f>
        <v>30000</v>
      </c>
    </row>
    <row r="212" spans="1:21" x14ac:dyDescent="0.3">
      <c r="A212">
        <v>211</v>
      </c>
      <c r="B212">
        <v>80542</v>
      </c>
      <c r="C212" t="s">
        <v>1857</v>
      </c>
      <c r="D212" t="s">
        <v>2017</v>
      </c>
      <c r="E212" t="str">
        <f>VLOOKUP(B212,'MASTER DATA SLT'!$C$4:$H$544,6,0)</f>
        <v>NO</v>
      </c>
      <c r="F212" t="str">
        <f>VLOOKUP(B212,'MASTER DATA SLT'!$C$4:$F$544,4,0)</f>
        <v>2024-12-15</v>
      </c>
      <c r="G212" t="str">
        <f>VLOOKUP(B212,'MASTER DATA SLT'!$C$4:$P$544,14,0)</f>
        <v>32301-1980887</v>
      </c>
      <c r="I212" t="str">
        <f>VLOOKUP(B212,'MASTER DATA SLT'!$C$4:$Q$544,15,0)</f>
        <v>03097707462</v>
      </c>
      <c r="J212">
        <f>VLOOKUP(B212,'MASTER DATA SLT'!$C$4:$R$544,16,0)</f>
        <v>0</v>
      </c>
      <c r="K212">
        <f>VLOOKUP(B212,'MASTER DATA SLT'!$C$4:$S$544,17,0)</f>
        <v>0</v>
      </c>
      <c r="N212" t="str">
        <f>VLOOKUP(B212,'SALARY DETALES'!$B$2:$C$475,2,0)</f>
        <v>Maintenance</v>
      </c>
      <c r="O212" t="str">
        <f>VLOOKUP(B212,'SALARY DETALES'!$B$2:$D$475,3,0)</f>
        <v>HELPER</v>
      </c>
      <c r="Q212" t="str">
        <f>VLOOKUP(B212,'MASTER DATA SLT'!$C$4:$F$544,4,0)</f>
        <v>2024-12-15</v>
      </c>
      <c r="R212">
        <f>VLOOKUP(B212,'MASTER DATA SLT'!$C$4:$G$544,5,0)</f>
        <v>420</v>
      </c>
      <c r="U212">
        <f>VLOOKUP(B212,'SALARY DETALES'!$B$2:$S$475,18,0)</f>
        <v>25000</v>
      </c>
    </row>
    <row r="213" spans="1:21" x14ac:dyDescent="0.3">
      <c r="A213">
        <v>212</v>
      </c>
      <c r="B213">
        <v>80589</v>
      </c>
      <c r="C213" t="s">
        <v>2018</v>
      </c>
      <c r="D213" t="s">
        <v>1863</v>
      </c>
      <c r="E213" t="str">
        <f>VLOOKUP(B213,'MASTER DATA SLT'!$C$4:$H$544,6,0)</f>
        <v>NO</v>
      </c>
      <c r="F213" t="str">
        <f>VLOOKUP(B213,'MASTER DATA SLT'!$C$4:$F$544,4,0)</f>
        <v>2025-01-13</v>
      </c>
      <c r="G213" t="str">
        <f>VLOOKUP(B213,'MASTER DATA SLT'!$C$4:$P$544,14,0)</f>
        <v>162025-265998</v>
      </c>
      <c r="I213" t="str">
        <f>VLOOKUP(B213,'MASTER DATA SLT'!$C$4:$Q$544,15,0)</f>
        <v>03459508160</v>
      </c>
      <c r="J213">
        <f>VLOOKUP(B213,'MASTER DATA SLT'!$C$4:$R$544,16,0)</f>
        <v>0</v>
      </c>
      <c r="K213">
        <f>VLOOKUP(B213,'MASTER DATA SLT'!$C$4:$S$544,17,0)</f>
        <v>0</v>
      </c>
      <c r="N213" t="str">
        <f>VLOOKUP(B213,'SALARY DETALES'!$B$2:$C$475,2,0)</f>
        <v>Maintenance</v>
      </c>
      <c r="O213" t="str">
        <f>VLOOKUP(B213,'SALARY DETALES'!$B$2:$D$475,3,0)</f>
        <v>TECHNICIAN</v>
      </c>
      <c r="Q213" t="str">
        <f>VLOOKUP(B213,'MASTER DATA SLT'!$C$4:$F$544,4,0)</f>
        <v>2025-01-13</v>
      </c>
      <c r="R213">
        <f>VLOOKUP(B213,'MASTER DATA SLT'!$C$4:$G$544,5,0)</f>
        <v>420</v>
      </c>
      <c r="U213">
        <f>VLOOKUP(B213,'SALARY DETALES'!$B$2:$S$475,18,0)</f>
        <v>50000</v>
      </c>
    </row>
    <row r="214" spans="1:21" x14ac:dyDescent="0.3">
      <c r="A214">
        <v>213</v>
      </c>
      <c r="B214">
        <v>80599</v>
      </c>
      <c r="C214" t="s">
        <v>2019</v>
      </c>
      <c r="D214" t="s">
        <v>1874</v>
      </c>
      <c r="E214" t="str">
        <f>VLOOKUP(B214,'MASTER DATA SLT'!$C$4:$H$544,6,0)</f>
        <v>NO</v>
      </c>
      <c r="F214" t="str">
        <f>VLOOKUP(B214,'MASTER DATA SLT'!$C$4:$F$544,4,0)</f>
        <v>2025-01-13</v>
      </c>
      <c r="G214" t="str">
        <f>VLOOKUP(B214,'MASTER DATA SLT'!$C$4:$P$544,14,0)</f>
        <v>42201-5767318</v>
      </c>
      <c r="I214" t="str">
        <f>VLOOKUP(B214,'MASTER DATA SLT'!$C$4:$Q$544,15,0)</f>
        <v>0304-3932710</v>
      </c>
      <c r="J214" t="str">
        <f>VLOOKUP(B214,'MASTER DATA SLT'!$C$4:$R$544,16,0)</f>
        <v>0312-8818010</v>
      </c>
      <c r="K214">
        <f>VLOOKUP(B214,'MASTER DATA SLT'!$C$4:$S$544,17,0)</f>
        <v>0</v>
      </c>
      <c r="N214" t="str">
        <f>VLOOKUP(B214,'SALARY DETALES'!$B$2:$C$475,2,0)</f>
        <v>Maintenance</v>
      </c>
      <c r="O214" t="str">
        <f>VLOOKUP(B214,'SALARY DETALES'!$B$2:$D$475,3,0)</f>
        <v>ELECTRICIAN</v>
      </c>
      <c r="Q214" t="str">
        <f>VLOOKUP(B214,'MASTER DATA SLT'!$C$4:$F$544,4,0)</f>
        <v>2025-01-13</v>
      </c>
      <c r="R214">
        <f>VLOOKUP(B214,'MASTER DATA SLT'!$C$4:$G$544,5,0)</f>
        <v>420</v>
      </c>
      <c r="U214">
        <f>VLOOKUP(B214,'SALARY DETALES'!$B$2:$S$475,18,0)</f>
        <v>45000</v>
      </c>
    </row>
    <row r="215" spans="1:21" x14ac:dyDescent="0.3">
      <c r="A215">
        <v>214</v>
      </c>
      <c r="B215">
        <v>80600</v>
      </c>
      <c r="C215" t="s">
        <v>1939</v>
      </c>
      <c r="D215" t="s">
        <v>1869</v>
      </c>
      <c r="E215" t="str">
        <f>VLOOKUP(B215,'MASTER DATA SLT'!$C$4:$H$544,6,0)</f>
        <v>NO</v>
      </c>
      <c r="F215" t="str">
        <f>VLOOKUP(B215,'MASTER DATA SLT'!$C$4:$F$544,4,0)</f>
        <v>2025-01-17</v>
      </c>
      <c r="G215" t="str">
        <f>VLOOKUP(B215,'MASTER DATA SLT'!$C$4:$P$544,14,0)</f>
        <v>42101-1892448</v>
      </c>
      <c r="I215" t="str">
        <f>VLOOKUP(B215,'MASTER DATA SLT'!$C$4:$Q$544,15,0)</f>
        <v>0317-2721832</v>
      </c>
      <c r="J215">
        <f>VLOOKUP(B215,'MASTER DATA SLT'!$C$4:$R$544,16,0)</f>
        <v>0</v>
      </c>
      <c r="K215">
        <f>VLOOKUP(B215,'MASTER DATA SLT'!$C$4:$S$544,17,0)</f>
        <v>0</v>
      </c>
      <c r="N215" t="str">
        <f>VLOOKUP(B215,'SALARY DETALES'!$B$2:$C$475,2,0)</f>
        <v>Maintenance</v>
      </c>
      <c r="O215" t="str">
        <f>VLOOKUP(B215,'SALARY DETALES'!$B$2:$D$475,3,0)</f>
        <v>ELECTRICIAN</v>
      </c>
      <c r="Q215" t="str">
        <f>VLOOKUP(B215,'MASTER DATA SLT'!$C$4:$F$544,4,0)</f>
        <v>2025-01-17</v>
      </c>
      <c r="R215">
        <f>VLOOKUP(B215,'MASTER DATA SLT'!$C$4:$G$544,5,0)</f>
        <v>420</v>
      </c>
      <c r="U215">
        <f>VLOOKUP(B215,'SALARY DETALES'!$B$2:$S$475,18,0)</f>
        <v>30000</v>
      </c>
    </row>
    <row r="216" spans="1:21" x14ac:dyDescent="0.3">
      <c r="A216">
        <v>215</v>
      </c>
      <c r="B216">
        <v>80616</v>
      </c>
      <c r="C216" t="s">
        <v>1857</v>
      </c>
      <c r="D216" t="s">
        <v>2160</v>
      </c>
      <c r="E216" t="str">
        <f>VLOOKUP(B216,'MASTER DATA SLT'!$C$4:$H$544,6,0)</f>
        <v>NO</v>
      </c>
      <c r="F216" t="str">
        <f>VLOOKUP(B216,'MASTER DATA SLT'!$C$4:$F$544,4,0)</f>
        <v>2025-02-02</v>
      </c>
      <c r="G216" t="str">
        <f>VLOOKUP(B216,'MASTER DATA SLT'!$C$4:$P$544,14,0)</f>
        <v>42201-6397988</v>
      </c>
      <c r="I216" t="str">
        <f>VLOOKUP(B216,'MASTER DATA SLT'!$C$4:$Q$544,15,0)</f>
        <v>03482985933</v>
      </c>
      <c r="J216">
        <f>VLOOKUP(B216,'MASTER DATA SLT'!$C$4:$R$544,16,0)</f>
        <v>0</v>
      </c>
      <c r="K216">
        <f>VLOOKUP(B216,'MASTER DATA SLT'!$C$4:$S$544,17,0)</f>
        <v>0</v>
      </c>
      <c r="N216" t="str">
        <f>VLOOKUP(B216,'SALARY DETALES'!$B$2:$C$475,2,0)</f>
        <v>Maintenance</v>
      </c>
      <c r="O216" t="str">
        <f>VLOOKUP(B216,'SALARY DETALES'!$B$2:$D$475,3,0)</f>
        <v>A/C TECHNICIAN</v>
      </c>
      <c r="Q216" t="str">
        <f>VLOOKUP(B216,'MASTER DATA SLT'!$C$4:$F$544,4,0)</f>
        <v>2025-02-02</v>
      </c>
      <c r="R216">
        <f>VLOOKUP(B216,'MASTER DATA SLT'!$C$4:$G$544,5,0)</f>
        <v>420</v>
      </c>
      <c r="U216">
        <f>VLOOKUP(B216,'SALARY DETALES'!$B$2:$S$475,18,0)</f>
        <v>35000</v>
      </c>
    </row>
    <row r="217" spans="1:21" x14ac:dyDescent="0.3">
      <c r="A217">
        <v>216</v>
      </c>
      <c r="B217">
        <v>80643</v>
      </c>
      <c r="C217" t="s">
        <v>1845</v>
      </c>
      <c r="D217" t="s">
        <v>1767</v>
      </c>
      <c r="E217" t="str">
        <f>VLOOKUP(B217,'MASTER DATA SLT'!$C$4:$H$544,6,0)</f>
        <v>BUS</v>
      </c>
      <c r="F217" t="str">
        <f>VLOOKUP(B217,'MASTER DATA SLT'!$C$4:$F$544,4,0)</f>
        <v>2025-02-12</v>
      </c>
      <c r="G217">
        <f>VLOOKUP(B217,'MASTER DATA SLT'!$C$4:$P$544,14,0)</f>
        <v>0</v>
      </c>
      <c r="I217" t="str">
        <f>VLOOKUP(B217,'MASTER DATA SLT'!$C$4:$Q$544,15,0)</f>
        <v>0307-9285662</v>
      </c>
      <c r="J217">
        <f>VLOOKUP(B217,'MASTER DATA SLT'!$C$4:$R$544,16,0)</f>
        <v>0</v>
      </c>
      <c r="K217">
        <f>VLOOKUP(B217,'MASTER DATA SLT'!$C$4:$S$544,17,0)</f>
        <v>0</v>
      </c>
      <c r="N217" t="str">
        <f>VLOOKUP(B217,'SALARY DETALES'!$B$2:$C$475,2,0)</f>
        <v>Maintenance</v>
      </c>
      <c r="O217" t="str">
        <f>VLOOKUP(B217,'SALARY DETALES'!$B$2:$D$475,3,0)</f>
        <v>HELPER</v>
      </c>
      <c r="Q217" t="str">
        <f>VLOOKUP(B217,'MASTER DATA SLT'!$C$4:$F$544,4,0)</f>
        <v>2025-02-12</v>
      </c>
      <c r="R217">
        <f>VLOOKUP(B217,'MASTER DATA SLT'!$C$4:$G$544,5,0)</f>
        <v>0</v>
      </c>
      <c r="U217">
        <f>VLOOKUP(B217,'SALARY DETALES'!$B$2:$S$475,18,0)</f>
        <v>20000</v>
      </c>
    </row>
    <row r="218" spans="1:21" x14ac:dyDescent="0.3">
      <c r="A218">
        <v>217</v>
      </c>
      <c r="B218">
        <v>80734</v>
      </c>
      <c r="C218" t="s">
        <v>477</v>
      </c>
      <c r="D218" t="s">
        <v>1929</v>
      </c>
      <c r="E218" t="e">
        <f>VLOOKUP(B218,'MASTER DATA SLT'!$C$4:$H$544,6,0)</f>
        <v>#N/A</v>
      </c>
      <c r="F218" t="e">
        <f>VLOOKUP(B218,'MASTER DATA SLT'!$C$4:$F$544,4,0)</f>
        <v>#N/A</v>
      </c>
      <c r="G218" t="e">
        <f>VLOOKUP(B218,'MASTER DATA SLT'!$C$4:$P$544,14,0)</f>
        <v>#N/A</v>
      </c>
      <c r="I218" t="e">
        <f>VLOOKUP(B218,'MASTER DATA SLT'!$C$4:$Q$544,15,0)</f>
        <v>#N/A</v>
      </c>
      <c r="J218" t="e">
        <f>VLOOKUP(B218,'MASTER DATA SLT'!$C$4:$R$544,16,0)</f>
        <v>#N/A</v>
      </c>
      <c r="K218" t="e">
        <f>VLOOKUP(B218,'MASTER DATA SLT'!$C$4:$S$544,17,0)</f>
        <v>#N/A</v>
      </c>
      <c r="N218" t="str">
        <f>VLOOKUP(B218,'SALARY DETALES'!$B$2:$C$475,2,0)</f>
        <v>Maintenance</v>
      </c>
      <c r="O218" t="str">
        <f>VLOOKUP(B218,'SALARY DETALES'!$B$2:$D$475,3,0)</f>
        <v>PAINTER</v>
      </c>
      <c r="Q218" t="e">
        <f>VLOOKUP(B218,'MASTER DATA SLT'!$C$4:$F$544,4,0)</f>
        <v>#N/A</v>
      </c>
      <c r="R218" t="e">
        <f>VLOOKUP(B218,'MASTER DATA SLT'!$C$4:$G$544,5,0)</f>
        <v>#N/A</v>
      </c>
      <c r="U218">
        <f>VLOOKUP(B218,'SALARY DETALES'!$B$2:$S$475,18,0)</f>
        <v>10</v>
      </c>
    </row>
    <row r="219" spans="1:21" x14ac:dyDescent="0.3">
      <c r="A219">
        <v>218</v>
      </c>
      <c r="B219">
        <v>22016</v>
      </c>
      <c r="C219" t="s">
        <v>2020</v>
      </c>
      <c r="D219" t="s">
        <v>1874</v>
      </c>
      <c r="E219" t="str">
        <f>VLOOKUP(B219,'MASTER DATA SLT'!$C$4:$H$544,6,0)</f>
        <v>BUS</v>
      </c>
      <c r="F219" t="str">
        <f>VLOOKUP(B219,'MASTER DATA SLT'!$C$4:$F$544,4,0)</f>
        <v>2021-12-28</v>
      </c>
      <c r="G219">
        <f>VLOOKUP(B219,'MASTER DATA SLT'!$C$4:$P$544,14,0)</f>
        <v>0</v>
      </c>
      <c r="I219" t="str">
        <f>VLOOKUP(B219,'MASTER DATA SLT'!$C$4:$Q$544,15,0)</f>
        <v>03228365574</v>
      </c>
      <c r="J219">
        <f>VLOOKUP(B219,'MASTER DATA SLT'!$C$4:$R$544,16,0)</f>
        <v>0</v>
      </c>
      <c r="K219">
        <f>VLOOKUP(B219,'MASTER DATA SLT'!$C$4:$S$544,17,0)</f>
        <v>0</v>
      </c>
      <c r="N219" t="str">
        <f>VLOOKUP(B219,'SALARY DETALES'!$B$2:$C$475,2,0)</f>
        <v>Mocktail Bar</v>
      </c>
      <c r="O219" t="str">
        <f>VLOOKUP(B219,'SALARY DETALES'!$B$2:$D$475,3,0)</f>
        <v>Mocktail Bar Head</v>
      </c>
      <c r="Q219" t="str">
        <f>VLOOKUP(B219,'MASTER DATA SLT'!$C$4:$F$544,4,0)</f>
        <v>2021-12-28</v>
      </c>
      <c r="R219">
        <f>VLOOKUP(B219,'MASTER DATA SLT'!$C$4:$G$544,5,0)</f>
        <v>0</v>
      </c>
      <c r="U219">
        <f>VLOOKUP(B219,'SALARY DETALES'!$B$2:$S$475,18,0)</f>
        <v>40000</v>
      </c>
    </row>
    <row r="220" spans="1:21" x14ac:dyDescent="0.3">
      <c r="A220">
        <v>219</v>
      </c>
      <c r="B220">
        <v>22032</v>
      </c>
      <c r="C220" t="s">
        <v>1881</v>
      </c>
      <c r="D220" t="s">
        <v>1937</v>
      </c>
      <c r="E220" t="str">
        <f>VLOOKUP(B220,'MASTER DATA SLT'!$C$4:$H$544,6,0)</f>
        <v>BUS</v>
      </c>
      <c r="F220" t="str">
        <f>VLOOKUP(B220,'MASTER DATA SLT'!$C$4:$F$544,4,0)</f>
        <v>2023-08-15</v>
      </c>
      <c r="G220">
        <f>VLOOKUP(B220,'MASTER DATA SLT'!$C$4:$P$544,14,0)</f>
        <v>0</v>
      </c>
      <c r="I220">
        <f>VLOOKUP(B220,'MASTER DATA SLT'!$C$4:$Q$544,15,0)</f>
        <v>0</v>
      </c>
      <c r="J220">
        <f>VLOOKUP(B220,'MASTER DATA SLT'!$C$4:$R$544,16,0)</f>
        <v>0</v>
      </c>
      <c r="K220">
        <f>VLOOKUP(B220,'MASTER DATA SLT'!$C$4:$S$544,17,0)</f>
        <v>0</v>
      </c>
      <c r="N220" t="str">
        <f>VLOOKUP(B220,'SALARY DETALES'!$B$2:$C$475,2,0)</f>
        <v>Mocktail Bar</v>
      </c>
      <c r="O220" t="str">
        <f>VLOOKUP(B220,'SALARY DETALES'!$B$2:$D$475,3,0)</f>
        <v>Mocktail HELPER</v>
      </c>
      <c r="Q220" t="str">
        <f>VLOOKUP(B220,'MASTER DATA SLT'!$C$4:$F$544,4,0)</f>
        <v>2023-08-15</v>
      </c>
      <c r="R220">
        <f>VLOOKUP(B220,'MASTER DATA SLT'!$C$4:$G$544,5,0)</f>
        <v>0</v>
      </c>
      <c r="U220">
        <f>VLOOKUP(B220,'SALARY DETALES'!$B$2:$S$475,18,0)</f>
        <v>24200</v>
      </c>
    </row>
    <row r="221" spans="1:21" x14ac:dyDescent="0.3">
      <c r="A221">
        <v>220</v>
      </c>
      <c r="B221">
        <v>22084</v>
      </c>
      <c r="C221" t="s">
        <v>1759</v>
      </c>
      <c r="D221" t="s">
        <v>2021</v>
      </c>
      <c r="E221" t="str">
        <f>VLOOKUP(B221,'MASTER DATA SLT'!$C$4:$H$544,6,0)</f>
        <v>BUS</v>
      </c>
      <c r="F221" t="str">
        <f>VLOOKUP(B221,'MASTER DATA SLT'!$C$4:$F$544,4,0)</f>
        <v>2023-04-01</v>
      </c>
      <c r="G221">
        <f>VLOOKUP(B221,'MASTER DATA SLT'!$C$4:$P$544,14,0)</f>
        <v>0</v>
      </c>
      <c r="I221">
        <f>VLOOKUP(B221,'MASTER DATA SLT'!$C$4:$Q$544,15,0)</f>
        <v>0</v>
      </c>
      <c r="J221">
        <f>VLOOKUP(B221,'MASTER DATA SLT'!$C$4:$R$544,16,0)</f>
        <v>0</v>
      </c>
      <c r="K221">
        <f>VLOOKUP(B221,'MASTER DATA SLT'!$C$4:$S$544,17,0)</f>
        <v>0</v>
      </c>
      <c r="N221" t="str">
        <f>VLOOKUP(B221,'SALARY DETALES'!$B$2:$C$475,2,0)</f>
        <v>Mocktail Bar</v>
      </c>
      <c r="O221" t="str">
        <f>VLOOKUP(B221,'SALARY DETALES'!$B$2:$D$475,3,0)</f>
        <v>Mocktail HELPER</v>
      </c>
      <c r="Q221" t="str">
        <f>VLOOKUP(B221,'MASTER DATA SLT'!$C$4:$F$544,4,0)</f>
        <v>2023-04-01</v>
      </c>
      <c r="R221">
        <f>VLOOKUP(B221,'MASTER DATA SLT'!$C$4:$G$544,5,0)</f>
        <v>0</v>
      </c>
      <c r="U221">
        <f>VLOOKUP(B221,'SALARY DETALES'!$B$2:$S$475,18,0)</f>
        <v>27500</v>
      </c>
    </row>
    <row r="222" spans="1:21" x14ac:dyDescent="0.3">
      <c r="A222">
        <v>221</v>
      </c>
      <c r="B222">
        <v>80571</v>
      </c>
      <c r="C222" t="s">
        <v>2022</v>
      </c>
      <c r="D222" t="s">
        <v>1874</v>
      </c>
      <c r="E222" t="str">
        <f>VLOOKUP(B222,'MASTER DATA SLT'!$C$4:$H$544,6,0)</f>
        <v>BUS</v>
      </c>
      <c r="F222" t="str">
        <f>VLOOKUP(B222,'MASTER DATA SLT'!$C$4:$F$544,4,0)</f>
        <v>2024-12-30</v>
      </c>
      <c r="G222" t="str">
        <f>VLOOKUP(B222,'MASTER DATA SLT'!$C$4:$P$544,14,0)</f>
        <v>53405-8885495</v>
      </c>
      <c r="I222" t="str">
        <f>VLOOKUP(B222,'MASTER DATA SLT'!$C$4:$Q$544,15,0)</f>
        <v>03322538022</v>
      </c>
      <c r="J222">
        <f>VLOOKUP(B222,'MASTER DATA SLT'!$C$4:$R$544,16,0)</f>
        <v>0</v>
      </c>
      <c r="K222">
        <f>VLOOKUP(B222,'MASTER DATA SLT'!$C$4:$S$544,17,0)</f>
        <v>0</v>
      </c>
      <c r="N222" t="str">
        <f>VLOOKUP(B222,'SALARY DETALES'!$B$2:$C$475,2,0)</f>
        <v>Mocktail Bar</v>
      </c>
      <c r="O222" t="str">
        <f>VLOOKUP(B222,'SALARY DETALES'!$B$2:$D$475,3,0)</f>
        <v>COLD BAR HELPER</v>
      </c>
      <c r="Q222" t="str">
        <f>VLOOKUP(B222,'MASTER DATA SLT'!$C$4:$F$544,4,0)</f>
        <v>2024-12-30</v>
      </c>
      <c r="R222">
        <f>VLOOKUP(B222,'MASTER DATA SLT'!$C$4:$G$544,5,0)</f>
        <v>0</v>
      </c>
      <c r="U222">
        <f>VLOOKUP(B222,'SALARY DETALES'!$B$2:$S$475,18,0)</f>
        <v>20000</v>
      </c>
    </row>
    <row r="223" spans="1:21" x14ac:dyDescent="0.3">
      <c r="A223">
        <v>222</v>
      </c>
      <c r="B223">
        <v>80735</v>
      </c>
      <c r="C223" t="s">
        <v>406</v>
      </c>
      <c r="D223" t="s">
        <v>2137</v>
      </c>
      <c r="E223" t="str">
        <f>VLOOKUP(B223,'MASTER DATA SLT'!$C$4:$H$544,6,0)</f>
        <v>BUS</v>
      </c>
      <c r="F223" t="str">
        <f>VLOOKUP(B223,'MASTER DATA SLT'!$C$4:$F$544,4,0)</f>
        <v>2025-03-25</v>
      </c>
      <c r="G223">
        <f>VLOOKUP(B223,'MASTER DATA SLT'!$C$4:$P$544,14,0)</f>
        <v>0</v>
      </c>
      <c r="I223">
        <f>VLOOKUP(B223,'MASTER DATA SLT'!$C$4:$Q$544,15,0)</f>
        <v>0</v>
      </c>
      <c r="J223">
        <f>VLOOKUP(B223,'MASTER DATA SLT'!$C$4:$R$544,16,0)</f>
        <v>0</v>
      </c>
      <c r="K223">
        <f>VLOOKUP(B223,'MASTER DATA SLT'!$C$4:$S$544,17,0)</f>
        <v>0</v>
      </c>
      <c r="N223" t="str">
        <f>VLOOKUP(B223,'SALARY DETALES'!$B$2:$C$475,2,0)</f>
        <v>Mocktail Bar</v>
      </c>
      <c r="O223">
        <f>VLOOKUP(B223,'SALARY DETALES'!$B$2:$D$475,3,0)</f>
        <v>0</v>
      </c>
      <c r="Q223" t="str">
        <f>VLOOKUP(B223,'MASTER DATA SLT'!$C$4:$F$544,4,0)</f>
        <v>2025-03-25</v>
      </c>
      <c r="R223">
        <f>VLOOKUP(B223,'MASTER DATA SLT'!$C$4:$G$544,5,0)</f>
        <v>0</v>
      </c>
      <c r="U223">
        <f>VLOOKUP(B223,'SALARY DETALES'!$B$2:$S$475,18,0)</f>
        <v>22000</v>
      </c>
    </row>
    <row r="224" spans="1:21" x14ac:dyDescent="0.3">
      <c r="A224">
        <v>223</v>
      </c>
      <c r="B224">
        <v>80756</v>
      </c>
      <c r="C224" t="s">
        <v>1857</v>
      </c>
      <c r="D224" t="s">
        <v>1918</v>
      </c>
      <c r="E224" t="str">
        <f>VLOOKUP(B224,'MASTER DATA SLT'!$C$4:$H$544,6,0)</f>
        <v>BUS</v>
      </c>
      <c r="F224" t="str">
        <f>VLOOKUP(B224,'MASTER DATA SLT'!$C$4:$F$544,4,0)</f>
        <v>2025-04-04</v>
      </c>
      <c r="G224" t="str">
        <f>VLOOKUP(B224,'MASTER DATA SLT'!$C$4:$P$544,14,0)</f>
        <v>42301-0346890</v>
      </c>
      <c r="I224" t="str">
        <f>VLOOKUP(B224,'MASTER DATA SLT'!$C$4:$Q$544,15,0)</f>
        <v>03191028901</v>
      </c>
      <c r="J224">
        <f>VLOOKUP(B224,'MASTER DATA SLT'!$C$4:$R$544,16,0)</f>
        <v>0</v>
      </c>
      <c r="K224">
        <f>VLOOKUP(B224,'MASTER DATA SLT'!$C$4:$S$544,17,0)</f>
        <v>0</v>
      </c>
      <c r="N224" t="str">
        <f>VLOOKUP(B224,'SALARY DETALES'!$B$2:$C$475,2,0)</f>
        <v>Mocktail Bar</v>
      </c>
      <c r="O224" t="str">
        <f>VLOOKUP(B224,'SALARY DETALES'!$B$2:$D$475,3,0)</f>
        <v>COLD BAR HELPER</v>
      </c>
      <c r="Q224" t="str">
        <f>VLOOKUP(B224,'MASTER DATA SLT'!$C$4:$F$544,4,0)</f>
        <v>2025-04-04</v>
      </c>
      <c r="R224">
        <f>VLOOKUP(B224,'MASTER DATA SLT'!$C$4:$G$544,5,0)</f>
        <v>0</v>
      </c>
      <c r="U224">
        <f>VLOOKUP(B224,'SALARY DETALES'!$B$2:$S$475,18,0)</f>
        <v>22000</v>
      </c>
    </row>
    <row r="225" spans="1:21" x14ac:dyDescent="0.3">
      <c r="A225">
        <v>224</v>
      </c>
      <c r="B225">
        <v>40001</v>
      </c>
      <c r="C225" t="s">
        <v>410</v>
      </c>
      <c r="D225" t="s">
        <v>2137</v>
      </c>
      <c r="E225" t="str">
        <f>VLOOKUP(B225,'MASTER DATA SLT'!$C$4:$H$544,6,0)</f>
        <v>NO</v>
      </c>
      <c r="F225" t="str">
        <f>VLOOKUP(B225,'MASTER DATA SLT'!$C$4:$F$544,4,0)</f>
        <v>2021-12-08</v>
      </c>
      <c r="G225">
        <f>VLOOKUP(B225,'MASTER DATA SLT'!$C$4:$P$544,14,0)</f>
        <v>0</v>
      </c>
      <c r="I225">
        <f>VLOOKUP(B225,'MASTER DATA SLT'!$C$4:$Q$544,15,0)</f>
        <v>0</v>
      </c>
      <c r="J225">
        <f>VLOOKUP(B225,'MASTER DATA SLT'!$C$4:$R$544,16,0)</f>
        <v>0</v>
      </c>
      <c r="K225">
        <f>VLOOKUP(B225,'MASTER DATA SLT'!$C$4:$S$544,17,0)</f>
        <v>0</v>
      </c>
      <c r="N225" t="str">
        <f>VLOOKUP(B225,'SALARY DETALES'!$B$2:$C$475,2,0)</f>
        <v>Music</v>
      </c>
      <c r="O225" t="str">
        <f>VLOOKUP(B225,'SALARY DETALES'!$B$2:$D$475,3,0)</f>
        <v>Music Incharge</v>
      </c>
      <c r="Q225" t="str">
        <f>VLOOKUP(B225,'MASTER DATA SLT'!$C$4:$F$544,4,0)</f>
        <v>2021-12-08</v>
      </c>
      <c r="R225">
        <f>VLOOKUP(B225,'MASTER DATA SLT'!$C$4:$G$544,5,0)</f>
        <v>30</v>
      </c>
      <c r="U225">
        <f>VLOOKUP(B225,'SALARY DETALES'!$B$2:$S$475,18,0)</f>
        <v>38000</v>
      </c>
    </row>
    <row r="226" spans="1:21" x14ac:dyDescent="0.3">
      <c r="A226">
        <v>225</v>
      </c>
      <c r="B226">
        <v>40002</v>
      </c>
      <c r="C226" t="s">
        <v>411</v>
      </c>
      <c r="D226" t="s">
        <v>2137</v>
      </c>
      <c r="E226" t="str">
        <f>VLOOKUP(B226,'MASTER DATA SLT'!$C$4:$H$544,6,0)</f>
        <v>NO</v>
      </c>
      <c r="F226" t="str">
        <f>VLOOKUP(B226,'MASTER DATA SLT'!$C$4:$F$544,4,0)</f>
        <v>2022-06-06</v>
      </c>
      <c r="G226">
        <f>VLOOKUP(B226,'MASTER DATA SLT'!$C$4:$P$544,14,0)</f>
        <v>0</v>
      </c>
      <c r="I226">
        <f>VLOOKUP(B226,'MASTER DATA SLT'!$C$4:$Q$544,15,0)</f>
        <v>0</v>
      </c>
      <c r="J226">
        <f>VLOOKUP(B226,'MASTER DATA SLT'!$C$4:$R$544,16,0)</f>
        <v>0</v>
      </c>
      <c r="K226">
        <f>VLOOKUP(B226,'MASTER DATA SLT'!$C$4:$S$544,17,0)</f>
        <v>0</v>
      </c>
      <c r="N226" t="str">
        <f>VLOOKUP(B226,'SALARY DETALES'!$B$2:$C$475,2,0)</f>
        <v>Music</v>
      </c>
      <c r="O226" t="str">
        <f>VLOOKUP(B226,'SALARY DETALES'!$B$2:$D$475,3,0)</f>
        <v>Music</v>
      </c>
      <c r="Q226" t="str">
        <f>VLOOKUP(B226,'MASTER DATA SLT'!$C$4:$F$544,4,0)</f>
        <v>2022-06-06</v>
      </c>
      <c r="R226">
        <f>VLOOKUP(B226,'MASTER DATA SLT'!$C$4:$G$544,5,0)</f>
        <v>0</v>
      </c>
      <c r="U226">
        <f>VLOOKUP(B226,'SALARY DETALES'!$B$2:$S$475,18,0)</f>
        <v>35000</v>
      </c>
    </row>
    <row r="227" spans="1:21" x14ac:dyDescent="0.3">
      <c r="A227">
        <v>226</v>
      </c>
      <c r="B227">
        <v>40005</v>
      </c>
      <c r="C227" t="s">
        <v>1857</v>
      </c>
      <c r="D227" t="s">
        <v>2161</v>
      </c>
      <c r="E227" t="str">
        <f>VLOOKUP(B227,'MASTER DATA SLT'!$C$4:$H$544,6,0)</f>
        <v>NO</v>
      </c>
      <c r="F227" t="str">
        <f>VLOOKUP(B227,'MASTER DATA SLT'!$C$4:$F$544,4,0)</f>
        <v>2024-09-07</v>
      </c>
      <c r="G227" t="str">
        <f>VLOOKUP(B227,'MASTER DATA SLT'!$C$4:$P$544,14,0)</f>
        <v>42000-7824353</v>
      </c>
      <c r="I227" t="str">
        <f>VLOOKUP(B227,'MASTER DATA SLT'!$C$4:$Q$544,15,0)</f>
        <v>0318-2029350</v>
      </c>
      <c r="J227">
        <f>VLOOKUP(B227,'MASTER DATA SLT'!$C$4:$R$544,16,0)</f>
        <v>0</v>
      </c>
      <c r="K227">
        <f>VLOOKUP(B227,'MASTER DATA SLT'!$C$4:$S$544,17,0)</f>
        <v>0</v>
      </c>
      <c r="N227" t="str">
        <f>VLOOKUP(B227,'SALARY DETALES'!$B$2:$C$475,2,0)</f>
        <v>Music</v>
      </c>
      <c r="O227" t="str">
        <f>VLOOKUP(B227,'SALARY DETALES'!$B$2:$D$475,3,0)</f>
        <v>SINGER</v>
      </c>
      <c r="Q227" t="str">
        <f>VLOOKUP(B227,'MASTER DATA SLT'!$C$4:$F$544,4,0)</f>
        <v>2024-09-07</v>
      </c>
      <c r="R227">
        <f>VLOOKUP(B227,'MASTER DATA SLT'!$C$4:$G$544,5,0)</f>
        <v>0</v>
      </c>
      <c r="U227">
        <f>VLOOKUP(B227,'SALARY DETALES'!$B$2:$S$475,18,0)</f>
        <v>30000</v>
      </c>
    </row>
    <row r="228" spans="1:21" x14ac:dyDescent="0.3">
      <c r="A228">
        <v>227</v>
      </c>
      <c r="B228">
        <v>40008</v>
      </c>
      <c r="C228" t="s">
        <v>415</v>
      </c>
      <c r="D228" t="s">
        <v>2137</v>
      </c>
      <c r="E228" t="str">
        <f>VLOOKUP(B228,'MASTER DATA SLT'!$C$4:$H$544,6,0)</f>
        <v>NO</v>
      </c>
      <c r="F228" t="str">
        <f>VLOOKUP(B228,'MASTER DATA SLT'!$C$4:$F$544,4,0)</f>
        <v>2023-08-16</v>
      </c>
      <c r="G228">
        <f>VLOOKUP(B228,'MASTER DATA SLT'!$C$4:$P$544,14,0)</f>
        <v>0</v>
      </c>
      <c r="I228">
        <f>VLOOKUP(B228,'MASTER DATA SLT'!$C$4:$Q$544,15,0)</f>
        <v>0</v>
      </c>
      <c r="J228">
        <f>VLOOKUP(B228,'MASTER DATA SLT'!$C$4:$R$544,16,0)</f>
        <v>0</v>
      </c>
      <c r="K228">
        <f>VLOOKUP(B228,'MASTER DATA SLT'!$C$4:$S$544,17,0)</f>
        <v>0</v>
      </c>
      <c r="N228" t="str">
        <f>VLOOKUP(B228,'SALARY DETALES'!$B$2:$C$475,2,0)</f>
        <v>Music</v>
      </c>
      <c r="O228" t="str">
        <f>VLOOKUP(B228,'SALARY DETALES'!$B$2:$D$475,3,0)</f>
        <v>Music Keyboard</v>
      </c>
      <c r="Q228" t="str">
        <f>VLOOKUP(B228,'MASTER DATA SLT'!$C$4:$F$544,4,0)</f>
        <v>2023-08-16</v>
      </c>
      <c r="R228">
        <f>VLOOKUP(B228,'MASTER DATA SLT'!$C$4:$G$544,5,0)</f>
        <v>0</v>
      </c>
      <c r="U228">
        <f>VLOOKUP(B228,'SALARY DETALES'!$B$2:$S$475,18,0)</f>
        <v>25000</v>
      </c>
    </row>
    <row r="229" spans="1:21" x14ac:dyDescent="0.3">
      <c r="A229">
        <v>228</v>
      </c>
      <c r="B229">
        <v>40009</v>
      </c>
      <c r="C229" t="s">
        <v>416</v>
      </c>
      <c r="D229" t="s">
        <v>2137</v>
      </c>
      <c r="E229" t="str">
        <f>VLOOKUP(B229,'MASTER DATA SLT'!$C$4:$H$544,6,0)</f>
        <v>NO</v>
      </c>
      <c r="F229" t="str">
        <f>VLOOKUP(B229,'MASTER DATA SLT'!$C$4:$F$544,4,0)</f>
        <v>2023-12-29</v>
      </c>
      <c r="G229">
        <f>VLOOKUP(B229,'MASTER DATA SLT'!$C$4:$P$544,14,0)</f>
        <v>0</v>
      </c>
      <c r="I229">
        <f>VLOOKUP(B229,'MASTER DATA SLT'!$C$4:$Q$544,15,0)</f>
        <v>0</v>
      </c>
      <c r="J229">
        <f>VLOOKUP(B229,'MASTER DATA SLT'!$C$4:$R$544,16,0)</f>
        <v>0</v>
      </c>
      <c r="K229">
        <f>VLOOKUP(B229,'MASTER DATA SLT'!$C$4:$S$544,17,0)</f>
        <v>0</v>
      </c>
      <c r="N229" t="str">
        <f>VLOOKUP(B229,'SALARY DETALES'!$B$2:$C$475,2,0)</f>
        <v>Music</v>
      </c>
      <c r="O229" t="str">
        <f>VLOOKUP(B229,'SALARY DETALES'!$B$2:$D$475,3,0)</f>
        <v>Music</v>
      </c>
      <c r="Q229" t="str">
        <f>VLOOKUP(B229,'MASTER DATA SLT'!$C$4:$F$544,4,0)</f>
        <v>2023-12-29</v>
      </c>
      <c r="R229">
        <f>VLOOKUP(B229,'MASTER DATA SLT'!$C$4:$G$544,5,0)</f>
        <v>30</v>
      </c>
      <c r="U229">
        <f>VLOOKUP(B229,'SALARY DETALES'!$B$2:$S$475,18,0)</f>
        <v>20000</v>
      </c>
    </row>
    <row r="230" spans="1:21" x14ac:dyDescent="0.3">
      <c r="A230">
        <v>229</v>
      </c>
      <c r="B230">
        <v>40011</v>
      </c>
      <c r="C230" t="s">
        <v>2023</v>
      </c>
      <c r="D230" t="s">
        <v>1869</v>
      </c>
      <c r="E230" t="str">
        <f>VLOOKUP(B230,'MASTER DATA SLT'!$C$4:$H$544,6,0)</f>
        <v>NO</v>
      </c>
      <c r="F230" t="str">
        <f>VLOOKUP(B230,'MASTER DATA SLT'!$C$4:$F$544,4,0)</f>
        <v>2023-12-29</v>
      </c>
      <c r="G230">
        <f>VLOOKUP(B230,'MASTER DATA SLT'!$C$4:$P$544,14,0)</f>
        <v>0</v>
      </c>
      <c r="I230">
        <f>VLOOKUP(B230,'MASTER DATA SLT'!$C$4:$Q$544,15,0)</f>
        <v>0</v>
      </c>
      <c r="J230">
        <f>VLOOKUP(B230,'MASTER DATA SLT'!$C$4:$R$544,16,0)</f>
        <v>0</v>
      </c>
      <c r="K230">
        <f>VLOOKUP(B230,'MASTER DATA SLT'!$C$4:$S$544,17,0)</f>
        <v>0</v>
      </c>
      <c r="N230" t="str">
        <f>VLOOKUP(B230,'SALARY DETALES'!$B$2:$C$475,2,0)</f>
        <v>Music</v>
      </c>
      <c r="O230" t="str">
        <f>VLOOKUP(B230,'SALARY DETALES'!$B$2:$D$475,3,0)</f>
        <v>Music</v>
      </c>
      <c r="Q230" t="str">
        <f>VLOOKUP(B230,'MASTER DATA SLT'!$C$4:$F$544,4,0)</f>
        <v>2023-12-29</v>
      </c>
      <c r="R230">
        <f>VLOOKUP(B230,'MASTER DATA SLT'!$C$4:$G$544,5,0)</f>
        <v>30</v>
      </c>
      <c r="U230">
        <f>VLOOKUP(B230,'SALARY DETALES'!$B$2:$S$475,18,0)</f>
        <v>25000</v>
      </c>
    </row>
    <row r="231" spans="1:21" x14ac:dyDescent="0.3">
      <c r="A231">
        <v>230</v>
      </c>
      <c r="B231">
        <v>80703</v>
      </c>
      <c r="C231" t="s">
        <v>420</v>
      </c>
      <c r="D231" t="s">
        <v>2137</v>
      </c>
      <c r="E231" t="str">
        <f>VLOOKUP(B231,'MASTER DATA SLT'!$C$4:$H$544,6,0)</f>
        <v>BUS</v>
      </c>
      <c r="F231" t="str">
        <f>VLOOKUP(B231,'MASTER DATA SLT'!$C$4:$F$544,4,0)</f>
        <v>2025-03-16</v>
      </c>
      <c r="G231">
        <f>VLOOKUP(B231,'MASTER DATA SLT'!$C$4:$P$544,14,0)</f>
        <v>0</v>
      </c>
      <c r="I231">
        <f>VLOOKUP(B231,'MASTER DATA SLT'!$C$4:$Q$544,15,0)</f>
        <v>0</v>
      </c>
      <c r="J231">
        <f>VLOOKUP(B231,'MASTER DATA SLT'!$C$4:$R$544,16,0)</f>
        <v>0</v>
      </c>
      <c r="K231">
        <f>VLOOKUP(B231,'MASTER DATA SLT'!$C$4:$S$544,17,0)</f>
        <v>0</v>
      </c>
      <c r="N231" t="str">
        <f>VLOOKUP(B231,'SALARY DETALES'!$B$2:$C$475,2,0)</f>
        <v>Patio</v>
      </c>
      <c r="O231" t="str">
        <f>VLOOKUP(B231,'SALARY DETALES'!$B$2:$D$475,3,0)</f>
        <v>O/T</v>
      </c>
      <c r="Q231" t="str">
        <f>VLOOKUP(B231,'MASTER DATA SLT'!$C$4:$F$544,4,0)</f>
        <v>2025-03-16</v>
      </c>
      <c r="R231">
        <f>VLOOKUP(B231,'MASTER DATA SLT'!$C$4:$G$544,5,0)</f>
        <v>0</v>
      </c>
      <c r="U231">
        <f>VLOOKUP(B231,'SALARY DETALES'!$B$2:$S$475,18,0)</f>
        <v>24000</v>
      </c>
    </row>
    <row r="232" spans="1:21" x14ac:dyDescent="0.3">
      <c r="A232">
        <v>231</v>
      </c>
      <c r="B232">
        <v>80725</v>
      </c>
      <c r="C232" t="s">
        <v>2024</v>
      </c>
      <c r="D232" t="s">
        <v>2147</v>
      </c>
      <c r="E232" t="str">
        <f>VLOOKUP(B232,'MASTER DATA SLT'!$C$4:$H$544,6,0)</f>
        <v>BUS</v>
      </c>
      <c r="F232" t="str">
        <f>VLOOKUP(B232,'MASTER DATA SLT'!$C$4:$F$544,4,0)</f>
        <v>2025-03-26</v>
      </c>
      <c r="G232">
        <f>VLOOKUP(B232,'MASTER DATA SLT'!$C$4:$P$544,14,0)</f>
        <v>0</v>
      </c>
      <c r="I232">
        <f>VLOOKUP(B232,'MASTER DATA SLT'!$C$4:$Q$544,15,0)</f>
        <v>0</v>
      </c>
      <c r="J232">
        <f>VLOOKUP(B232,'MASTER DATA SLT'!$C$4:$R$544,16,0)</f>
        <v>0</v>
      </c>
      <c r="K232">
        <f>VLOOKUP(B232,'MASTER DATA SLT'!$C$4:$S$544,17,0)</f>
        <v>0</v>
      </c>
      <c r="N232" t="str">
        <f>VLOOKUP(B232,'SALARY DETALES'!$B$2:$C$475,2,0)</f>
        <v>Patio</v>
      </c>
      <c r="O232" t="str">
        <f>VLOOKUP(B232,'SALARY DETALES'!$B$2:$D$475,3,0)</f>
        <v>O/T</v>
      </c>
      <c r="Q232" t="str">
        <f>VLOOKUP(B232,'MASTER DATA SLT'!$C$4:$F$544,4,0)</f>
        <v>2025-03-26</v>
      </c>
      <c r="R232">
        <f>VLOOKUP(B232,'MASTER DATA SLT'!$C$4:$G$544,5,0)</f>
        <v>0</v>
      </c>
      <c r="U232">
        <f>VLOOKUP(B232,'SALARY DETALES'!$B$2:$S$475,18,0)</f>
        <v>25000</v>
      </c>
    </row>
    <row r="233" spans="1:21" x14ac:dyDescent="0.3">
      <c r="A233">
        <v>232</v>
      </c>
      <c r="B233">
        <v>80740</v>
      </c>
      <c r="C233" t="s">
        <v>489</v>
      </c>
      <c r="D233" t="s">
        <v>1993</v>
      </c>
      <c r="E233" t="str">
        <f>VLOOKUP(B233,'MASTER DATA SLT'!$C$4:$H$544,6,0)</f>
        <v>BUS</v>
      </c>
      <c r="F233" t="str">
        <f>VLOOKUP(B233,'MASTER DATA SLT'!$C$4:$F$544,4,0)</f>
        <v>2025-03-29</v>
      </c>
      <c r="G233" t="str">
        <f>VLOOKUP(B233,'MASTER DATA SLT'!$C$4:$P$544,14,0)</f>
        <v>71601-0592939</v>
      </c>
      <c r="I233" t="str">
        <f>VLOOKUP(B233,'MASTER DATA SLT'!$C$4:$Q$544,15,0)</f>
        <v>0317-5036013</v>
      </c>
      <c r="J233">
        <f>VLOOKUP(B233,'MASTER DATA SLT'!$C$4:$R$544,16,0)</f>
        <v>0</v>
      </c>
      <c r="K233">
        <f>VLOOKUP(B233,'MASTER DATA SLT'!$C$4:$S$544,17,0)</f>
        <v>0</v>
      </c>
      <c r="N233" t="str">
        <f>VLOOKUP(B233,'SALARY DETALES'!$B$2:$C$475,2,0)</f>
        <v>Patio</v>
      </c>
      <c r="O233" t="str">
        <f>VLOOKUP(B233,'SALARY DETALES'!$B$2:$D$475,3,0)</f>
        <v>O/T</v>
      </c>
      <c r="Q233" t="str">
        <f>VLOOKUP(B233,'MASTER DATA SLT'!$C$4:$F$544,4,0)</f>
        <v>2025-03-29</v>
      </c>
      <c r="R233">
        <f>VLOOKUP(B233,'MASTER DATA SLT'!$C$4:$G$544,5,0)</f>
        <v>0</v>
      </c>
      <c r="U233">
        <f>VLOOKUP(B233,'SALARY DETALES'!$B$2:$S$475,18,0)</f>
        <v>25000</v>
      </c>
    </row>
    <row r="234" spans="1:21" x14ac:dyDescent="0.3">
      <c r="A234">
        <v>233</v>
      </c>
      <c r="B234">
        <v>80790</v>
      </c>
      <c r="C234" t="s">
        <v>1845</v>
      </c>
      <c r="D234" t="s">
        <v>452</v>
      </c>
      <c r="E234" t="str">
        <f>VLOOKUP(B234,'MASTER DATA SLT'!$C$4:$H$544,6,0)</f>
        <v>BUS</v>
      </c>
      <c r="F234" t="str">
        <f>VLOOKUP(B234,'MASTER DATA SLT'!$C$4:$F$544,4,0)</f>
        <v>2025-04-21</v>
      </c>
      <c r="G234">
        <f>VLOOKUP(B234,'MASTER DATA SLT'!$C$4:$P$544,14,0)</f>
        <v>0</v>
      </c>
      <c r="I234">
        <f>VLOOKUP(B234,'MASTER DATA SLT'!$C$4:$Q$544,15,0)</f>
        <v>0</v>
      </c>
      <c r="J234">
        <f>VLOOKUP(B234,'MASTER DATA SLT'!$C$4:$R$544,16,0)</f>
        <v>0</v>
      </c>
      <c r="K234">
        <f>VLOOKUP(B234,'MASTER DATA SLT'!$C$4:$S$544,17,0)</f>
        <v>0</v>
      </c>
      <c r="N234" t="str">
        <f>VLOOKUP(B234,'SALARY DETALES'!$B$2:$C$475,2,0)</f>
        <v>Patio</v>
      </c>
      <c r="O234" t="str">
        <f>VLOOKUP(B234,'SALARY DETALES'!$B$2:$D$475,3,0)</f>
        <v>O/T</v>
      </c>
      <c r="Q234" t="str">
        <f>VLOOKUP(B234,'MASTER DATA SLT'!$C$4:$F$544,4,0)</f>
        <v>2025-04-21</v>
      </c>
      <c r="R234">
        <f>VLOOKUP(B234,'MASTER DATA SLT'!$C$4:$G$544,5,0)</f>
        <v>0</v>
      </c>
      <c r="U234">
        <f>VLOOKUP(B234,'SALARY DETALES'!$B$2:$S$475,18,0)</f>
        <v>23000</v>
      </c>
    </row>
    <row r="235" spans="1:21" x14ac:dyDescent="0.3">
      <c r="A235">
        <v>234</v>
      </c>
      <c r="B235">
        <v>80791</v>
      </c>
      <c r="C235" t="s">
        <v>651</v>
      </c>
      <c r="D235" t="s">
        <v>477</v>
      </c>
      <c r="E235" t="str">
        <f>VLOOKUP(B235,'MASTER DATA SLT'!$C$4:$H$544,6,0)</f>
        <v>BUS</v>
      </c>
      <c r="F235" t="str">
        <f>VLOOKUP(B235,'MASTER DATA SLT'!$C$4:$F$544,4,0)</f>
        <v>2025-04-24</v>
      </c>
      <c r="G235">
        <f>VLOOKUP(B235,'MASTER DATA SLT'!$C$4:$P$544,14,0)</f>
        <v>0</v>
      </c>
      <c r="I235">
        <f>VLOOKUP(B235,'MASTER DATA SLT'!$C$4:$Q$544,15,0)</f>
        <v>0</v>
      </c>
      <c r="J235">
        <f>VLOOKUP(B235,'MASTER DATA SLT'!$C$4:$R$544,16,0)</f>
        <v>0</v>
      </c>
      <c r="K235">
        <f>VLOOKUP(B235,'MASTER DATA SLT'!$C$4:$S$544,17,0)</f>
        <v>0</v>
      </c>
      <c r="N235" t="str">
        <f>VLOOKUP(B235,'SALARY DETALES'!$B$2:$C$475,2,0)</f>
        <v>Patio</v>
      </c>
      <c r="O235" t="str">
        <f>VLOOKUP(B235,'SALARY DETALES'!$B$2:$D$475,3,0)</f>
        <v>O/T</v>
      </c>
      <c r="Q235" t="str">
        <f>VLOOKUP(B235,'MASTER DATA SLT'!$C$4:$F$544,4,0)</f>
        <v>2025-04-24</v>
      </c>
      <c r="R235">
        <f>VLOOKUP(B235,'MASTER DATA SLT'!$C$4:$G$544,5,0)</f>
        <v>0</v>
      </c>
      <c r="U235">
        <f>VLOOKUP(B235,'SALARY DETALES'!$B$2:$S$475,18,0)</f>
        <v>23000</v>
      </c>
    </row>
    <row r="236" spans="1:21" x14ac:dyDescent="0.3">
      <c r="A236">
        <v>235</v>
      </c>
      <c r="B236">
        <v>80570</v>
      </c>
      <c r="C236" t="s">
        <v>434</v>
      </c>
      <c r="D236" t="s">
        <v>2025</v>
      </c>
      <c r="E236" t="str">
        <f>VLOOKUP(B236,'MASTER DATA SLT'!$C$4:$H$544,6,0)</f>
        <v>NO</v>
      </c>
      <c r="F236" t="str">
        <f>VLOOKUP(B236,'MASTER DATA SLT'!$C$4:$F$544,4,0)</f>
        <v>2024-12-31</v>
      </c>
      <c r="G236" t="str">
        <f>VLOOKUP(B236,'MASTER DATA SLT'!$C$4:$P$544,14,0)</f>
        <v>42201-5717651</v>
      </c>
      <c r="I236" t="str">
        <f>VLOOKUP(B236,'MASTER DATA SLT'!$C$4:$Q$544,15,0)</f>
        <v>03222927189</v>
      </c>
      <c r="J236">
        <f>VLOOKUP(B236,'MASTER DATA SLT'!$C$4:$R$544,16,0)</f>
        <v>0</v>
      </c>
      <c r="K236">
        <f>VLOOKUP(B236,'MASTER DATA SLT'!$C$4:$S$544,17,0)</f>
        <v>0</v>
      </c>
      <c r="N236" t="str">
        <f>VLOOKUP(B236,'SALARY DETALES'!$B$2:$C$475,2,0)</f>
        <v>PERSONAL SECURITY</v>
      </c>
      <c r="O236" t="str">
        <f>VLOOKUP(B236,'SALARY DETALES'!$B$2:$D$475,3,0)</f>
        <v>LADY GUARD</v>
      </c>
      <c r="Q236" t="str">
        <f>VLOOKUP(B236,'MASTER DATA SLT'!$C$4:$F$544,4,0)</f>
        <v>2024-12-31</v>
      </c>
      <c r="R236">
        <f>VLOOKUP(B236,'MASTER DATA SLT'!$C$4:$G$544,5,0)</f>
        <v>20</v>
      </c>
      <c r="U236">
        <f>VLOOKUP(B236,'SALARY DETALES'!$B$2:$S$475,18,0)</f>
        <v>25000</v>
      </c>
    </row>
    <row r="237" spans="1:21" x14ac:dyDescent="0.3">
      <c r="A237">
        <v>236</v>
      </c>
      <c r="B237">
        <v>11011</v>
      </c>
      <c r="C237" t="s">
        <v>97</v>
      </c>
      <c r="D237" t="s">
        <v>2000</v>
      </c>
      <c r="E237" t="str">
        <f>VLOOKUP(B237,'MASTER DATA SLT'!$C$4:$H$544,6,0)</f>
        <v>NO</v>
      </c>
      <c r="F237" t="str">
        <f>VLOOKUP(B237,'MASTER DATA SLT'!$C$4:$F$544,4,0)</f>
        <v>2022-07-05</v>
      </c>
      <c r="G237" t="str">
        <f>VLOOKUP(B237,'MASTER DATA SLT'!$C$4:$P$544,14,0)</f>
        <v>14301-2448546</v>
      </c>
      <c r="I237">
        <f>VLOOKUP(B237,'MASTER DATA SLT'!$C$4:$Q$544,15,0)</f>
        <v>3003169508</v>
      </c>
      <c r="J237">
        <f>VLOOKUP(B237,'MASTER DATA SLT'!$C$4:$R$544,16,0)</f>
        <v>0</v>
      </c>
      <c r="K237" t="str">
        <f>VLOOKUP(B237,'MASTER DATA SLT'!$C$4:$S$544,17,0)</f>
        <v>FLAT NO:N-107 BLOCK 09 JOHOR KARACHI</v>
      </c>
      <c r="N237" t="str">
        <f>VLOOKUP(B237,'SALARY DETALES'!$B$2:$C$475,2,0)</f>
        <v>PLAY LAND</v>
      </c>
      <c r="O237" t="str">
        <f>VLOOKUP(B237,'SALARY DETALES'!$B$2:$D$475,3,0)</f>
        <v>PLAY LAND (INCHARGE)</v>
      </c>
      <c r="Q237" t="str">
        <f>VLOOKUP(B237,'MASTER DATA SLT'!$C$4:$F$544,4,0)</f>
        <v>2022-07-05</v>
      </c>
      <c r="R237">
        <f>VLOOKUP(B237,'MASTER DATA SLT'!$C$4:$G$544,5,0)</f>
        <v>0</v>
      </c>
      <c r="U237">
        <f>VLOOKUP(B237,'SALARY DETALES'!$B$2:$S$475,18,0)</f>
        <v>42350</v>
      </c>
    </row>
    <row r="238" spans="1:21" x14ac:dyDescent="0.3">
      <c r="A238">
        <v>237</v>
      </c>
      <c r="B238">
        <v>5038</v>
      </c>
      <c r="C238" t="s">
        <v>2026</v>
      </c>
      <c r="D238" t="s">
        <v>1863</v>
      </c>
      <c r="E238" t="str">
        <f>VLOOKUP(B238,'MASTER DATA SLT'!$C$4:$H$544,6,0)</f>
        <v>NO</v>
      </c>
      <c r="F238" t="str">
        <f>VLOOKUP(B238,'MASTER DATA SLT'!$C$4:$F$544,4,0)</f>
        <v>2023-01-09</v>
      </c>
      <c r="G238" t="str">
        <f>VLOOKUP(B238,'MASTER DATA SLT'!$C$4:$P$544,14,0)</f>
        <v>42101-7027424</v>
      </c>
      <c r="I238">
        <f>VLOOKUP(B238,'MASTER DATA SLT'!$C$4:$Q$544,15,0)</f>
        <v>3363951418</v>
      </c>
      <c r="J238">
        <f>VLOOKUP(B238,'MASTER DATA SLT'!$C$4:$R$544,16,0)</f>
        <v>3142285663</v>
      </c>
      <c r="K238" t="str">
        <f>VLOOKUP(B238,'MASTER DATA SLT'!$C$4:$S$544,17,0)</f>
        <v>BLOCK 1B FEDERAL B AREA KARACHI</v>
      </c>
      <c r="N238" t="str">
        <f>VLOOKUP(B238,'SALARY DETALES'!$B$2:$C$475,2,0)</f>
        <v>PLAY LAND</v>
      </c>
      <c r="O238" t="str">
        <f>VLOOKUP(B238,'SALARY DETALES'!$B$2:$D$475,3,0)</f>
        <v>CASHIER PlayLand</v>
      </c>
      <c r="Q238" t="str">
        <f>VLOOKUP(B238,'MASTER DATA SLT'!$C$4:$F$544,4,0)</f>
        <v>2023-01-09</v>
      </c>
      <c r="R238">
        <f>VLOOKUP(B238,'MASTER DATA SLT'!$C$4:$G$544,5,0)</f>
        <v>60</v>
      </c>
      <c r="U238">
        <f>VLOOKUP(B238,'SALARY DETALES'!$B$2:$S$475,18,0)</f>
        <v>29040</v>
      </c>
    </row>
    <row r="239" spans="1:21" x14ac:dyDescent="0.3">
      <c r="A239">
        <v>238</v>
      </c>
      <c r="B239">
        <v>11015</v>
      </c>
      <c r="C239" t="s">
        <v>434</v>
      </c>
      <c r="D239" t="s">
        <v>2137</v>
      </c>
      <c r="E239" t="str">
        <f>VLOOKUP(B239,'MASTER DATA SLT'!$C$4:$H$544,6,0)</f>
        <v>NO</v>
      </c>
      <c r="F239" t="str">
        <f>VLOOKUP(B239,'MASTER DATA SLT'!$C$4:$F$544,4,0)</f>
        <v>2023-04-01</v>
      </c>
      <c r="G239">
        <f>VLOOKUP(B239,'MASTER DATA SLT'!$C$4:$P$544,14,0)</f>
        <v>0</v>
      </c>
      <c r="I239">
        <f>VLOOKUP(B239,'MASTER DATA SLT'!$C$4:$Q$544,15,0)</f>
        <v>0</v>
      </c>
      <c r="J239">
        <f>VLOOKUP(B239,'MASTER DATA SLT'!$C$4:$R$544,16,0)</f>
        <v>0</v>
      </c>
      <c r="K239">
        <f>VLOOKUP(B239,'MASTER DATA SLT'!$C$4:$S$544,17,0)</f>
        <v>0</v>
      </c>
      <c r="N239" t="str">
        <f>VLOOKUP(B239,'SALARY DETALES'!$B$2:$C$475,2,0)</f>
        <v>PLAY LAND</v>
      </c>
      <c r="O239" t="str">
        <f>VLOOKUP(B239,'SALARY DETALES'!$B$2:$D$475,3,0)</f>
        <v>PLAYLAND</v>
      </c>
      <c r="Q239" t="str">
        <f>VLOOKUP(B239,'MASTER DATA SLT'!$C$4:$F$544,4,0)</f>
        <v>2023-04-01</v>
      </c>
      <c r="R239">
        <f>VLOOKUP(B239,'MASTER DATA SLT'!$C$4:$G$544,5,0)</f>
        <v>0</v>
      </c>
      <c r="U239">
        <f>VLOOKUP(B239,'SALARY DETALES'!$B$2:$S$475,18,0)</f>
        <v>26500</v>
      </c>
    </row>
    <row r="240" spans="1:21" x14ac:dyDescent="0.3">
      <c r="A240">
        <v>239</v>
      </c>
      <c r="B240">
        <v>11004</v>
      </c>
      <c r="C240" t="s">
        <v>1739</v>
      </c>
      <c r="D240" t="s">
        <v>2156</v>
      </c>
      <c r="E240" t="str">
        <f>VLOOKUP(B240,'MASTER DATA SLT'!$C$4:$H$544,6,0)</f>
        <v>NO</v>
      </c>
      <c r="F240" t="str">
        <f>VLOOKUP(B240,'MASTER DATA SLT'!$C$4:$F$544,4,0)</f>
        <v>2023-04-22</v>
      </c>
      <c r="G240">
        <f>VLOOKUP(B240,'MASTER DATA SLT'!$C$4:$P$544,14,0)</f>
        <v>0</v>
      </c>
      <c r="I240">
        <f>VLOOKUP(B240,'MASTER DATA SLT'!$C$4:$Q$544,15,0)</f>
        <v>0</v>
      </c>
      <c r="J240">
        <f>VLOOKUP(B240,'MASTER DATA SLT'!$C$4:$R$544,16,0)</f>
        <v>0</v>
      </c>
      <c r="K240">
        <f>VLOOKUP(B240,'MASTER DATA SLT'!$C$4:$S$544,17,0)</f>
        <v>0</v>
      </c>
      <c r="N240" t="str">
        <f>VLOOKUP(B240,'SALARY DETALES'!$B$2:$C$475,2,0)</f>
        <v>PLAY LAND</v>
      </c>
      <c r="O240" t="str">
        <f>VLOOKUP(B240,'SALARY DETALES'!$B$2:$D$475,3,0)</f>
        <v>PLAY LAND</v>
      </c>
      <c r="Q240" t="str">
        <f>VLOOKUP(B240,'MASTER DATA SLT'!$C$4:$F$544,4,0)</f>
        <v>2023-04-22</v>
      </c>
      <c r="R240">
        <f>VLOOKUP(B240,'MASTER DATA SLT'!$C$4:$G$544,5,0)</f>
        <v>0</v>
      </c>
      <c r="U240">
        <f>VLOOKUP(B240,'SALARY DETALES'!$B$2:$S$475,18,0)</f>
        <v>27500</v>
      </c>
    </row>
    <row r="241" spans="1:21" x14ac:dyDescent="0.3">
      <c r="A241">
        <v>240</v>
      </c>
      <c r="B241">
        <v>9068</v>
      </c>
      <c r="C241" t="s">
        <v>438</v>
      </c>
      <c r="D241" t="s">
        <v>2137</v>
      </c>
      <c r="E241" t="str">
        <f>VLOOKUP(B241,'MASTER DATA SLT'!$C$4:$H$544,6,0)</f>
        <v>BUS</v>
      </c>
      <c r="F241" t="str">
        <f>VLOOKUP(B241,'MASTER DATA SLT'!$C$4:$F$544,4,0)</f>
        <v>2023-05-01</v>
      </c>
      <c r="G241">
        <f>VLOOKUP(B241,'MASTER DATA SLT'!$C$4:$P$544,14,0)</f>
        <v>0</v>
      </c>
      <c r="I241">
        <f>VLOOKUP(B241,'MASTER DATA SLT'!$C$4:$Q$544,15,0)</f>
        <v>0</v>
      </c>
      <c r="J241">
        <f>VLOOKUP(B241,'MASTER DATA SLT'!$C$4:$R$544,16,0)</f>
        <v>0</v>
      </c>
      <c r="K241">
        <f>VLOOKUP(B241,'MASTER DATA SLT'!$C$4:$S$544,17,0)</f>
        <v>0</v>
      </c>
      <c r="N241" t="str">
        <f>VLOOKUP(B241,'SALARY DETALES'!$B$2:$C$475,2,0)</f>
        <v>Pulao</v>
      </c>
      <c r="O241" t="str">
        <f>VLOOKUP(B241,'SALARY DETALES'!$B$2:$D$475,3,0)</f>
        <v>Pulao CHEF</v>
      </c>
      <c r="Q241" t="str">
        <f>VLOOKUP(B241,'MASTER DATA SLT'!$C$4:$F$544,4,0)</f>
        <v>2023-05-01</v>
      </c>
      <c r="R241">
        <f>VLOOKUP(B241,'MASTER DATA SLT'!$C$4:$G$544,5,0)</f>
        <v>0</v>
      </c>
      <c r="U241">
        <f>VLOOKUP(B241,'SALARY DETALES'!$B$2:$S$475,18,0)</f>
        <v>50000</v>
      </c>
    </row>
    <row r="242" spans="1:21" x14ac:dyDescent="0.3">
      <c r="A242">
        <v>241</v>
      </c>
      <c r="B242">
        <v>80523</v>
      </c>
      <c r="C242" t="s">
        <v>440</v>
      </c>
      <c r="D242" t="s">
        <v>2137</v>
      </c>
      <c r="E242" t="str">
        <f>VLOOKUP(B242,'MASTER DATA SLT'!$C$4:$H$544,6,0)</f>
        <v>BUS</v>
      </c>
      <c r="F242" t="str">
        <f>VLOOKUP(B242,'MASTER DATA SLT'!$C$4:$F$544,4,0)</f>
        <v>2024-12-03</v>
      </c>
      <c r="G242" t="str">
        <f>VLOOKUP(B242,'MASTER DATA SLT'!$C$4:$P$544,14,0)</f>
        <v>42201-9552627</v>
      </c>
      <c r="I242" t="str">
        <f>VLOOKUP(B242,'MASTER DATA SLT'!$C$4:$Q$544,15,0)</f>
        <v>0315-2651619</v>
      </c>
      <c r="J242">
        <f>VLOOKUP(B242,'MASTER DATA SLT'!$C$4:$R$544,16,0)</f>
        <v>0</v>
      </c>
      <c r="K242">
        <f>VLOOKUP(B242,'MASTER DATA SLT'!$C$4:$S$544,17,0)</f>
        <v>0</v>
      </c>
      <c r="N242" t="str">
        <f>VLOOKUP(B242,'SALARY DETALES'!$B$2:$C$475,2,0)</f>
        <v>Pulao</v>
      </c>
      <c r="O242" t="str">
        <f>VLOOKUP(B242,'SALARY DETALES'!$B$2:$D$475,3,0)</f>
        <v>PULAO HELPER</v>
      </c>
      <c r="Q242" t="str">
        <f>VLOOKUP(B242,'MASTER DATA SLT'!$C$4:$F$544,4,0)</f>
        <v>2024-12-03</v>
      </c>
      <c r="R242">
        <f>VLOOKUP(B242,'MASTER DATA SLT'!$C$4:$G$544,5,0)</f>
        <v>0</v>
      </c>
      <c r="U242">
        <f>VLOOKUP(B242,'SALARY DETALES'!$B$2:$S$475,18,0)</f>
        <v>22000</v>
      </c>
    </row>
    <row r="243" spans="1:21" x14ac:dyDescent="0.3">
      <c r="A243">
        <v>242</v>
      </c>
      <c r="B243">
        <v>80652</v>
      </c>
      <c r="C243" t="s">
        <v>1848</v>
      </c>
      <c r="D243" t="s">
        <v>1917</v>
      </c>
      <c r="E243" t="str">
        <f>VLOOKUP(B243,'MASTER DATA SLT'!$C$4:$H$544,6,0)</f>
        <v>BUS</v>
      </c>
      <c r="F243" t="str">
        <f>VLOOKUP(B243,'MASTER DATA SLT'!$C$4:$F$544,4,0)</f>
        <v>0000-00-00</v>
      </c>
      <c r="G243">
        <f>VLOOKUP(B243,'MASTER DATA SLT'!$C$4:$P$544,14,0)</f>
        <v>0</v>
      </c>
      <c r="I243">
        <f>VLOOKUP(B243,'MASTER DATA SLT'!$C$4:$Q$544,15,0)</f>
        <v>0</v>
      </c>
      <c r="J243">
        <f>VLOOKUP(B243,'MASTER DATA SLT'!$C$4:$R$544,16,0)</f>
        <v>0</v>
      </c>
      <c r="K243">
        <f>VLOOKUP(B243,'MASTER DATA SLT'!$C$4:$S$544,17,0)</f>
        <v>0</v>
      </c>
      <c r="N243" t="str">
        <f>VLOOKUP(B243,'SALARY DETALES'!$B$2:$C$475,2,0)</f>
        <v>Runner</v>
      </c>
      <c r="O243" t="str">
        <f>VLOOKUP(B243,'SALARY DETALES'!$B$2:$D$475,3,0)</f>
        <v>Runner</v>
      </c>
      <c r="Q243" t="str">
        <f>VLOOKUP(B243,'MASTER DATA SLT'!$C$4:$F$544,4,0)</f>
        <v>0000-00-00</v>
      </c>
      <c r="R243">
        <f>VLOOKUP(B243,'MASTER DATA SLT'!$C$4:$G$544,5,0)</f>
        <v>0</v>
      </c>
      <c r="U243">
        <f>VLOOKUP(B243,'SALARY DETALES'!$B$2:$S$475,18,0)</f>
        <v>16000</v>
      </c>
    </row>
    <row r="244" spans="1:21" x14ac:dyDescent="0.3">
      <c r="A244">
        <v>243</v>
      </c>
      <c r="B244">
        <v>22270</v>
      </c>
      <c r="C244" t="s">
        <v>441</v>
      </c>
      <c r="D244" t="s">
        <v>2137</v>
      </c>
      <c r="E244" t="str">
        <f>VLOOKUP(B244,'MASTER DATA SLT'!$C$4:$H$544,6,0)</f>
        <v>BUS</v>
      </c>
      <c r="F244" t="str">
        <f>VLOOKUP(B244,'MASTER DATA SLT'!$C$4:$F$544,4,0)</f>
        <v>2024-03-26</v>
      </c>
      <c r="G244">
        <f>VLOOKUP(B244,'MASTER DATA SLT'!$C$4:$P$544,14,0)</f>
        <v>0</v>
      </c>
      <c r="I244">
        <f>VLOOKUP(B244,'MASTER DATA SLT'!$C$4:$Q$544,15,0)</f>
        <v>0</v>
      </c>
      <c r="J244">
        <f>VLOOKUP(B244,'MASTER DATA SLT'!$C$4:$R$544,16,0)</f>
        <v>0</v>
      </c>
      <c r="K244">
        <f>VLOOKUP(B244,'MASTER DATA SLT'!$C$4:$S$544,17,0)</f>
        <v>0</v>
      </c>
      <c r="N244" t="str">
        <f>VLOOKUP(B244,'SALARY DETALES'!$B$2:$C$475,2,0)</f>
        <v>Runner</v>
      </c>
      <c r="O244" t="str">
        <f>VLOOKUP(B244,'SALARY DETALES'!$B$2:$D$475,3,0)</f>
        <v>Runner</v>
      </c>
      <c r="Q244" t="str">
        <f>VLOOKUP(B244,'MASTER DATA SLT'!$C$4:$F$544,4,0)</f>
        <v>2024-03-26</v>
      </c>
      <c r="R244">
        <f>VLOOKUP(B244,'MASTER DATA SLT'!$C$4:$G$544,5,0)</f>
        <v>0</v>
      </c>
      <c r="U244">
        <f>VLOOKUP(B244,'SALARY DETALES'!$B$2:$S$475,18,0)</f>
        <v>17600</v>
      </c>
    </row>
    <row r="245" spans="1:21" x14ac:dyDescent="0.3">
      <c r="A245">
        <v>244</v>
      </c>
      <c r="B245">
        <v>80384</v>
      </c>
      <c r="C245" t="s">
        <v>442</v>
      </c>
      <c r="D245" t="s">
        <v>2137</v>
      </c>
      <c r="E245" t="str">
        <f>VLOOKUP(B245,'MASTER DATA SLT'!$C$4:$H$544,6,0)</f>
        <v>BUS</v>
      </c>
      <c r="F245" t="str">
        <f>VLOOKUP(B245,'MASTER DATA SLT'!$C$4:$F$544,4,0)</f>
        <v>2024-09-14</v>
      </c>
      <c r="G245">
        <f>VLOOKUP(B245,'MASTER DATA SLT'!$C$4:$P$544,14,0)</f>
        <v>0</v>
      </c>
      <c r="I245">
        <f>VLOOKUP(B245,'MASTER DATA SLT'!$C$4:$Q$544,15,0)</f>
        <v>0</v>
      </c>
      <c r="J245">
        <f>VLOOKUP(B245,'MASTER DATA SLT'!$C$4:$R$544,16,0)</f>
        <v>0</v>
      </c>
      <c r="K245">
        <f>VLOOKUP(B245,'MASTER DATA SLT'!$C$4:$S$544,17,0)</f>
        <v>0</v>
      </c>
      <c r="N245" t="str">
        <f>VLOOKUP(B245,'SALARY DETALES'!$B$2:$C$475,2,0)</f>
        <v>Runner</v>
      </c>
      <c r="O245" t="str">
        <f>VLOOKUP(B245,'SALARY DETALES'!$B$2:$D$475,3,0)</f>
        <v>Runner</v>
      </c>
      <c r="Q245" t="str">
        <f>VLOOKUP(B245,'MASTER DATA SLT'!$C$4:$F$544,4,0)</f>
        <v>2024-09-14</v>
      </c>
      <c r="R245">
        <f>VLOOKUP(B245,'MASTER DATA SLT'!$C$4:$G$544,5,0)</f>
        <v>0</v>
      </c>
      <c r="U245">
        <f>VLOOKUP(B245,'SALARY DETALES'!$B$2:$S$475,18,0)</f>
        <v>17600</v>
      </c>
    </row>
    <row r="246" spans="1:21" x14ac:dyDescent="0.3">
      <c r="A246">
        <v>245</v>
      </c>
      <c r="B246">
        <v>80458</v>
      </c>
      <c r="C246" t="s">
        <v>1924</v>
      </c>
      <c r="D246" t="s">
        <v>2027</v>
      </c>
      <c r="E246" t="str">
        <f>VLOOKUP(B246,'MASTER DATA SLT'!$C$4:$H$544,6,0)</f>
        <v>BUS</v>
      </c>
      <c r="F246" t="str">
        <f>VLOOKUP(B246,'MASTER DATA SLT'!$C$4:$F$544,4,0)</f>
        <v>2024-10-22</v>
      </c>
      <c r="G246" t="str">
        <f>VLOOKUP(B246,'MASTER DATA SLT'!$C$4:$P$544,14,0)</f>
        <v>42201-1438447</v>
      </c>
      <c r="I246" t="str">
        <f>VLOOKUP(B246,'MASTER DATA SLT'!$C$4:$Q$544,15,0)</f>
        <v>0327-2017752</v>
      </c>
      <c r="J246">
        <f>VLOOKUP(B246,'MASTER DATA SLT'!$C$4:$R$544,16,0)</f>
        <v>0</v>
      </c>
      <c r="K246">
        <f>VLOOKUP(B246,'MASTER DATA SLT'!$C$4:$S$544,17,0)</f>
        <v>0</v>
      </c>
      <c r="N246" t="str">
        <f>VLOOKUP(B246,'SALARY DETALES'!$B$2:$C$475,2,0)</f>
        <v>Runner</v>
      </c>
      <c r="O246" t="str">
        <f>VLOOKUP(B246,'SALARY DETALES'!$B$2:$D$475,3,0)</f>
        <v>Runner</v>
      </c>
      <c r="Q246" t="str">
        <f>VLOOKUP(B246,'MASTER DATA SLT'!$C$4:$F$544,4,0)</f>
        <v>2024-10-22</v>
      </c>
      <c r="R246">
        <f>VLOOKUP(B246,'MASTER DATA SLT'!$C$4:$G$544,5,0)</f>
        <v>0</v>
      </c>
      <c r="U246">
        <f>VLOOKUP(B246,'SALARY DETALES'!$B$2:$S$475,18,0)</f>
        <v>16000</v>
      </c>
    </row>
    <row r="247" spans="1:21" x14ac:dyDescent="0.3">
      <c r="A247">
        <v>246</v>
      </c>
      <c r="B247">
        <v>80609</v>
      </c>
      <c r="C247" t="s">
        <v>1848</v>
      </c>
      <c r="D247" t="s">
        <v>2024</v>
      </c>
      <c r="E247" t="str">
        <f>VLOOKUP(B247,'MASTER DATA SLT'!$C$4:$H$544,6,0)</f>
        <v>BUS</v>
      </c>
      <c r="F247" t="str">
        <f>VLOOKUP(B247,'MASTER DATA SLT'!$C$4:$F$544,4,0)</f>
        <v>2025-02-01</v>
      </c>
      <c r="G247" t="str">
        <f>VLOOKUP(B247,'MASTER DATA SLT'!$C$4:$P$544,14,0)</f>
        <v>42201-2690860</v>
      </c>
      <c r="I247" t="str">
        <f>VLOOKUP(B247,'MASTER DATA SLT'!$C$4:$Q$544,15,0)</f>
        <v>03452153061</v>
      </c>
      <c r="J247">
        <f>VLOOKUP(B247,'MASTER DATA SLT'!$C$4:$R$544,16,0)</f>
        <v>0</v>
      </c>
      <c r="K247">
        <f>VLOOKUP(B247,'MASTER DATA SLT'!$C$4:$S$544,17,0)</f>
        <v>0</v>
      </c>
      <c r="N247" t="str">
        <f>VLOOKUP(B247,'SALARY DETALES'!$B$2:$C$475,2,0)</f>
        <v>Runner</v>
      </c>
      <c r="O247" t="str">
        <f>VLOOKUP(B247,'SALARY DETALES'!$B$2:$D$475,3,0)</f>
        <v>RUNNER</v>
      </c>
      <c r="Q247" t="str">
        <f>VLOOKUP(B247,'MASTER DATA SLT'!$C$4:$F$544,4,0)</f>
        <v>2025-02-01</v>
      </c>
      <c r="R247">
        <f>VLOOKUP(B247,'MASTER DATA SLT'!$C$4:$G$544,5,0)</f>
        <v>0</v>
      </c>
      <c r="U247">
        <f>VLOOKUP(B247,'SALARY DETALES'!$B$2:$S$475,18,0)</f>
        <v>16000</v>
      </c>
    </row>
    <row r="248" spans="1:21" x14ac:dyDescent="0.3">
      <c r="A248">
        <v>247</v>
      </c>
      <c r="B248">
        <v>80620</v>
      </c>
      <c r="C248" t="s">
        <v>2006</v>
      </c>
      <c r="D248" t="s">
        <v>1959</v>
      </c>
      <c r="E248" t="str">
        <f>VLOOKUP(B248,'MASTER DATA SLT'!$C$4:$H$544,6,0)</f>
        <v>BUS</v>
      </c>
      <c r="F248" t="str">
        <f>VLOOKUP(B248,'MASTER DATA SLT'!$C$4:$F$544,4,0)</f>
        <v>2025-02-04</v>
      </c>
      <c r="G248" t="str">
        <f>VLOOKUP(B248,'MASTER DATA SLT'!$C$4:$P$544,14,0)</f>
        <v>1501-6519455-</v>
      </c>
      <c r="I248" t="str">
        <f>VLOOKUP(B248,'MASTER DATA SLT'!$C$4:$Q$544,15,0)</f>
        <v>03481906881</v>
      </c>
      <c r="J248">
        <f>VLOOKUP(B248,'MASTER DATA SLT'!$C$4:$R$544,16,0)</f>
        <v>0</v>
      </c>
      <c r="K248">
        <f>VLOOKUP(B248,'MASTER DATA SLT'!$C$4:$S$544,17,0)</f>
        <v>0</v>
      </c>
      <c r="N248" t="str">
        <f>VLOOKUP(B248,'SALARY DETALES'!$B$2:$C$475,2,0)</f>
        <v>Runner</v>
      </c>
      <c r="O248" t="str">
        <f>VLOOKUP(B248,'SALARY DETALES'!$B$2:$D$475,3,0)</f>
        <v>RUNNER</v>
      </c>
      <c r="Q248" t="str">
        <f>VLOOKUP(B248,'MASTER DATA SLT'!$C$4:$F$544,4,0)</f>
        <v>2025-02-04</v>
      </c>
      <c r="R248">
        <f>VLOOKUP(B248,'MASTER DATA SLT'!$C$4:$G$544,5,0)</f>
        <v>0</v>
      </c>
      <c r="U248">
        <f>VLOOKUP(B248,'SALARY DETALES'!$B$2:$S$475,18,0)</f>
        <v>16000</v>
      </c>
    </row>
    <row r="249" spans="1:21" x14ac:dyDescent="0.3">
      <c r="A249">
        <v>248</v>
      </c>
      <c r="B249">
        <v>80621</v>
      </c>
      <c r="C249" t="s">
        <v>446</v>
      </c>
      <c r="D249" t="s">
        <v>2137</v>
      </c>
      <c r="E249" t="str">
        <f>VLOOKUP(B249,'MASTER DATA SLT'!$C$4:$H$544,6,0)</f>
        <v>BUS</v>
      </c>
      <c r="F249" t="str">
        <f>VLOOKUP(B249,'MASTER DATA SLT'!$C$4:$F$544,4,0)</f>
        <v>2025-02-06</v>
      </c>
      <c r="G249" t="str">
        <f>VLOOKUP(B249,'MASTER DATA SLT'!$C$4:$P$544,14,0)</f>
        <v>5340-58885495</v>
      </c>
      <c r="I249" t="str">
        <f>VLOOKUP(B249,'MASTER DATA SLT'!$C$4:$Q$544,15,0)</f>
        <v>03043717218</v>
      </c>
      <c r="J249">
        <f>VLOOKUP(B249,'MASTER DATA SLT'!$C$4:$R$544,16,0)</f>
        <v>0</v>
      </c>
      <c r="K249">
        <f>VLOOKUP(B249,'MASTER DATA SLT'!$C$4:$S$544,17,0)</f>
        <v>0</v>
      </c>
      <c r="N249" t="str">
        <f>VLOOKUP(B249,'SALARY DETALES'!$B$2:$C$475,2,0)</f>
        <v>Runner</v>
      </c>
      <c r="O249" t="str">
        <f>VLOOKUP(B249,'SALARY DETALES'!$B$2:$D$475,3,0)</f>
        <v>RUNNER</v>
      </c>
      <c r="Q249" t="str">
        <f>VLOOKUP(B249,'MASTER DATA SLT'!$C$4:$F$544,4,0)</f>
        <v>2025-02-06</v>
      </c>
      <c r="R249">
        <f>VLOOKUP(B249,'MASTER DATA SLT'!$C$4:$G$544,5,0)</f>
        <v>0</v>
      </c>
      <c r="U249">
        <f>VLOOKUP(B249,'SALARY DETALES'!$B$2:$S$475,18,0)</f>
        <v>17600</v>
      </c>
    </row>
    <row r="250" spans="1:21" x14ac:dyDescent="0.3">
      <c r="A250">
        <v>249</v>
      </c>
      <c r="B250">
        <v>80622</v>
      </c>
      <c r="C250" t="s">
        <v>1941</v>
      </c>
      <c r="D250" t="s">
        <v>1863</v>
      </c>
      <c r="E250" t="str">
        <f>VLOOKUP(B250,'MASTER DATA SLT'!$C$4:$H$544,6,0)</f>
        <v>BUS</v>
      </c>
      <c r="F250" t="str">
        <f>VLOOKUP(B250,'MASTER DATA SLT'!$C$4:$F$544,4,0)</f>
        <v>2025-02-01</v>
      </c>
      <c r="G250" t="str">
        <f>VLOOKUP(B250,'MASTER DATA SLT'!$C$4:$P$544,14,0)</f>
        <v>4220-12222478</v>
      </c>
      <c r="I250" t="str">
        <f>VLOOKUP(B250,'MASTER DATA SLT'!$C$4:$Q$544,15,0)</f>
        <v>03422442144</v>
      </c>
      <c r="J250">
        <f>VLOOKUP(B250,'MASTER DATA SLT'!$C$4:$R$544,16,0)</f>
        <v>0</v>
      </c>
      <c r="K250">
        <f>VLOOKUP(B250,'MASTER DATA SLT'!$C$4:$S$544,17,0)</f>
        <v>0</v>
      </c>
      <c r="N250" t="str">
        <f>VLOOKUP(B250,'SALARY DETALES'!$B$2:$C$475,2,0)</f>
        <v>Runner</v>
      </c>
      <c r="O250" t="str">
        <f>VLOOKUP(B250,'SALARY DETALES'!$B$2:$D$475,3,0)</f>
        <v>RUNNER</v>
      </c>
      <c r="Q250" t="str">
        <f>VLOOKUP(B250,'MASTER DATA SLT'!$C$4:$F$544,4,0)</f>
        <v>2025-02-01</v>
      </c>
      <c r="R250">
        <f>VLOOKUP(B250,'MASTER DATA SLT'!$C$4:$G$544,5,0)</f>
        <v>0</v>
      </c>
      <c r="U250">
        <f>VLOOKUP(B250,'SALARY DETALES'!$B$2:$S$475,18,0)</f>
        <v>16000</v>
      </c>
    </row>
    <row r="251" spans="1:21" x14ac:dyDescent="0.3">
      <c r="A251">
        <v>250</v>
      </c>
      <c r="B251">
        <v>80630</v>
      </c>
      <c r="C251" t="s">
        <v>1890</v>
      </c>
      <c r="D251" t="s">
        <v>1874</v>
      </c>
      <c r="E251" t="str">
        <f>VLOOKUP(B251,'MASTER DATA SLT'!$C$4:$H$544,6,0)</f>
        <v>BUS</v>
      </c>
      <c r="F251" t="str">
        <f>VLOOKUP(B251,'MASTER DATA SLT'!$C$4:$F$544,4,0)</f>
        <v>2025-02-10</v>
      </c>
      <c r="G251" t="str">
        <f>VLOOKUP(B251,'MASTER DATA SLT'!$C$4:$P$544,14,0)</f>
        <v>13303-5863543</v>
      </c>
      <c r="I251" t="str">
        <f>VLOOKUP(B251,'MASTER DATA SLT'!$C$4:$Q$544,15,0)</f>
        <v>03209743485</v>
      </c>
      <c r="J251">
        <f>VLOOKUP(B251,'MASTER DATA SLT'!$C$4:$R$544,16,0)</f>
        <v>0</v>
      </c>
      <c r="K251">
        <f>VLOOKUP(B251,'MASTER DATA SLT'!$C$4:$S$544,17,0)</f>
        <v>0</v>
      </c>
      <c r="N251" t="str">
        <f>VLOOKUP(B251,'SALARY DETALES'!$B$2:$C$475,2,0)</f>
        <v>Runner</v>
      </c>
      <c r="O251" t="str">
        <f>VLOOKUP(B251,'SALARY DETALES'!$B$2:$D$475,3,0)</f>
        <v>RUNNER</v>
      </c>
      <c r="Q251" t="str">
        <f>VLOOKUP(B251,'MASTER DATA SLT'!$C$4:$F$544,4,0)</f>
        <v>2025-02-10</v>
      </c>
      <c r="R251">
        <f>VLOOKUP(B251,'MASTER DATA SLT'!$C$4:$G$544,5,0)</f>
        <v>0</v>
      </c>
      <c r="U251">
        <f>VLOOKUP(B251,'SALARY DETALES'!$B$2:$S$475,18,0)</f>
        <v>16000</v>
      </c>
    </row>
    <row r="252" spans="1:21" x14ac:dyDescent="0.3">
      <c r="A252">
        <v>251</v>
      </c>
      <c r="B252">
        <v>80637</v>
      </c>
      <c r="C252" t="s">
        <v>150</v>
      </c>
      <c r="D252" t="s">
        <v>2028</v>
      </c>
      <c r="E252" t="str">
        <f>VLOOKUP(B252,'MASTER DATA SLT'!$C$4:$H$544,6,0)</f>
        <v>BUS</v>
      </c>
      <c r="F252" t="str">
        <f>VLOOKUP(B252,'MASTER DATA SLT'!$C$4:$F$544,4,0)</f>
        <v>2025-02-19</v>
      </c>
      <c r="G252">
        <f>VLOOKUP(B252,'MASTER DATA SLT'!$C$4:$P$544,14,0)</f>
        <v>0</v>
      </c>
      <c r="I252" t="str">
        <f>VLOOKUP(B252,'MASTER DATA SLT'!$C$4:$Q$544,15,0)</f>
        <v>03333532158</v>
      </c>
      <c r="J252">
        <f>VLOOKUP(B252,'MASTER DATA SLT'!$C$4:$R$544,16,0)</f>
        <v>0</v>
      </c>
      <c r="K252">
        <f>VLOOKUP(B252,'MASTER DATA SLT'!$C$4:$S$544,17,0)</f>
        <v>0</v>
      </c>
      <c r="N252" t="str">
        <f>VLOOKUP(B252,'SALARY DETALES'!$B$2:$C$475,2,0)</f>
        <v>Runner</v>
      </c>
      <c r="O252" t="str">
        <f>VLOOKUP(B252,'SALARY DETALES'!$B$2:$D$475,3,0)</f>
        <v>Runner</v>
      </c>
      <c r="Q252" t="str">
        <f>VLOOKUP(B252,'MASTER DATA SLT'!$C$4:$F$544,4,0)</f>
        <v>2025-02-19</v>
      </c>
      <c r="R252">
        <f>VLOOKUP(B252,'MASTER DATA SLT'!$C$4:$G$544,5,0)</f>
        <v>0</v>
      </c>
      <c r="U252">
        <f>VLOOKUP(B252,'SALARY DETALES'!$B$2:$S$475,18,0)</f>
        <v>17600</v>
      </c>
    </row>
    <row r="253" spans="1:21" x14ac:dyDescent="0.3">
      <c r="A253">
        <v>252</v>
      </c>
      <c r="B253">
        <v>80638</v>
      </c>
      <c r="C253" t="s">
        <v>2029</v>
      </c>
      <c r="D253" t="s">
        <v>1874</v>
      </c>
      <c r="E253" t="str">
        <f>VLOOKUP(B253,'MASTER DATA SLT'!$C$4:$H$544,6,0)</f>
        <v>BUS</v>
      </c>
      <c r="F253" t="str">
        <f>VLOOKUP(B253,'MASTER DATA SLT'!$C$4:$F$544,4,0)</f>
        <v>2025-02-19</v>
      </c>
      <c r="G253">
        <f>VLOOKUP(B253,'MASTER DATA SLT'!$C$4:$P$544,14,0)</f>
        <v>0</v>
      </c>
      <c r="I253" t="str">
        <f>VLOOKUP(B253,'MASTER DATA SLT'!$C$4:$Q$544,15,0)</f>
        <v>0305-2930314</v>
      </c>
      <c r="J253">
        <f>VLOOKUP(B253,'MASTER DATA SLT'!$C$4:$R$544,16,0)</f>
        <v>0</v>
      </c>
      <c r="K253">
        <f>VLOOKUP(B253,'MASTER DATA SLT'!$C$4:$S$544,17,0)</f>
        <v>0</v>
      </c>
      <c r="N253" t="str">
        <f>VLOOKUP(B253,'SALARY DETALES'!$B$2:$C$475,2,0)</f>
        <v>Runner</v>
      </c>
      <c r="O253" t="str">
        <f>VLOOKUP(B253,'SALARY DETALES'!$B$2:$D$475,3,0)</f>
        <v>Runner</v>
      </c>
      <c r="Q253" t="str">
        <f>VLOOKUP(B253,'MASTER DATA SLT'!$C$4:$F$544,4,0)</f>
        <v>2025-02-19</v>
      </c>
      <c r="R253">
        <f>VLOOKUP(B253,'MASTER DATA SLT'!$C$4:$G$544,5,0)</f>
        <v>0</v>
      </c>
      <c r="U253">
        <f>VLOOKUP(B253,'SALARY DETALES'!$B$2:$S$475,18,0)</f>
        <v>17600</v>
      </c>
    </row>
    <row r="254" spans="1:21" x14ac:dyDescent="0.3">
      <c r="A254">
        <v>253</v>
      </c>
      <c r="B254">
        <v>80651</v>
      </c>
      <c r="C254" t="s">
        <v>451</v>
      </c>
      <c r="D254" t="s">
        <v>2137</v>
      </c>
      <c r="E254" t="str">
        <f>VLOOKUP(B254,'MASTER DATA SLT'!$C$4:$H$544,6,0)</f>
        <v>BUS</v>
      </c>
      <c r="F254" t="str">
        <f>VLOOKUP(B254,'MASTER DATA SLT'!$C$4:$F$544,4,0)</f>
        <v>2025-02-26</v>
      </c>
      <c r="G254">
        <f>VLOOKUP(B254,'MASTER DATA SLT'!$C$4:$P$544,14,0)</f>
        <v>0</v>
      </c>
      <c r="I254">
        <f>VLOOKUP(B254,'MASTER DATA SLT'!$C$4:$Q$544,15,0)</f>
        <v>0</v>
      </c>
      <c r="J254">
        <f>VLOOKUP(B254,'MASTER DATA SLT'!$C$4:$R$544,16,0)</f>
        <v>0</v>
      </c>
      <c r="K254">
        <f>VLOOKUP(B254,'MASTER DATA SLT'!$C$4:$S$544,17,0)</f>
        <v>0</v>
      </c>
      <c r="N254" t="str">
        <f>VLOOKUP(B254,'SALARY DETALES'!$B$2:$C$475,2,0)</f>
        <v>Runner</v>
      </c>
      <c r="O254" t="str">
        <f>VLOOKUP(B254,'SALARY DETALES'!$B$2:$D$475,3,0)</f>
        <v>Runner</v>
      </c>
      <c r="Q254" t="str">
        <f>VLOOKUP(B254,'MASTER DATA SLT'!$C$4:$F$544,4,0)</f>
        <v>2025-02-26</v>
      </c>
      <c r="R254">
        <f>VLOOKUP(B254,'MASTER DATA SLT'!$C$4:$G$544,5,0)</f>
        <v>0</v>
      </c>
      <c r="U254">
        <f>VLOOKUP(B254,'SALARY DETALES'!$B$2:$S$475,18,0)</f>
        <v>16000</v>
      </c>
    </row>
    <row r="255" spans="1:21" x14ac:dyDescent="0.3">
      <c r="A255">
        <v>254</v>
      </c>
      <c r="B255">
        <v>80718</v>
      </c>
      <c r="C255" t="s">
        <v>452</v>
      </c>
      <c r="D255" t="s">
        <v>2137</v>
      </c>
      <c r="E255" t="str">
        <f>VLOOKUP(B255,'MASTER DATA SLT'!$C$4:$H$544,6,0)</f>
        <v>BUS</v>
      </c>
      <c r="F255" t="str">
        <f>VLOOKUP(B255,'MASTER DATA SLT'!$C$4:$F$544,4,0)</f>
        <v>2025-03-10</v>
      </c>
      <c r="G255" t="str">
        <f>VLOOKUP(B255,'MASTER DATA SLT'!$C$4:$P$544,14,0)</f>
        <v>42201-3329726</v>
      </c>
      <c r="I255" t="str">
        <f>VLOOKUP(B255,'MASTER DATA SLT'!$C$4:$Q$544,15,0)</f>
        <v>03437075159</v>
      </c>
      <c r="J255">
        <f>VLOOKUP(B255,'MASTER DATA SLT'!$C$4:$R$544,16,0)</f>
        <v>0</v>
      </c>
      <c r="K255">
        <f>VLOOKUP(B255,'MASTER DATA SLT'!$C$4:$S$544,17,0)</f>
        <v>0</v>
      </c>
      <c r="N255" t="str">
        <f>VLOOKUP(B255,'SALARY DETALES'!$B$2:$C$475,2,0)</f>
        <v>Runner</v>
      </c>
      <c r="O255" t="str">
        <f>VLOOKUP(B255,'SALARY DETALES'!$B$2:$D$475,3,0)</f>
        <v>RUNNER</v>
      </c>
      <c r="Q255" t="str">
        <f>VLOOKUP(B255,'MASTER DATA SLT'!$C$4:$F$544,4,0)</f>
        <v>2025-03-10</v>
      </c>
      <c r="R255">
        <f>VLOOKUP(B255,'MASTER DATA SLT'!$C$4:$G$544,5,0)</f>
        <v>0</v>
      </c>
      <c r="U255">
        <f>VLOOKUP(B255,'SALARY DETALES'!$B$2:$S$475,18,0)</f>
        <v>16000</v>
      </c>
    </row>
    <row r="256" spans="1:21" x14ac:dyDescent="0.3">
      <c r="A256">
        <v>255</v>
      </c>
      <c r="B256">
        <v>22070</v>
      </c>
      <c r="C256" t="s">
        <v>2030</v>
      </c>
      <c r="D256" t="s">
        <v>1938</v>
      </c>
      <c r="E256" t="str">
        <f>VLOOKUP(B256,'MASTER DATA SLT'!$C$4:$H$544,6,0)</f>
        <v>BUS</v>
      </c>
      <c r="F256" t="str">
        <f>VLOOKUP(B256,'MASTER DATA SLT'!$C$4:$F$544,4,0)</f>
        <v>2022-06-14</v>
      </c>
      <c r="G256">
        <f>VLOOKUP(B256,'MASTER DATA SLT'!$C$4:$P$544,14,0)</f>
        <v>0</v>
      </c>
      <c r="I256">
        <f>VLOOKUP(B256,'MASTER DATA SLT'!$C$4:$Q$544,15,0)</f>
        <v>0</v>
      </c>
      <c r="J256">
        <f>VLOOKUP(B256,'MASTER DATA SLT'!$C$4:$R$544,16,0)</f>
        <v>0</v>
      </c>
      <c r="K256">
        <f>VLOOKUP(B256,'MASTER DATA SLT'!$C$4:$S$544,17,0)</f>
        <v>0</v>
      </c>
      <c r="N256" t="str">
        <f>VLOOKUP(B256,'SALARY DETALES'!$B$2:$C$475,2,0)</f>
        <v>RUNNER 2</v>
      </c>
      <c r="O256" t="str">
        <f>VLOOKUP(B256,'SALARY DETALES'!$B$2:$D$475,3,0)</f>
        <v>ORDER PICKUP</v>
      </c>
      <c r="Q256" t="str">
        <f>VLOOKUP(B256,'MASTER DATA SLT'!$C$4:$F$544,4,0)</f>
        <v>2022-06-14</v>
      </c>
      <c r="R256">
        <f>VLOOKUP(B256,'MASTER DATA SLT'!$C$4:$G$544,5,0)</f>
        <v>0</v>
      </c>
      <c r="U256">
        <f>VLOOKUP(B256,'SALARY DETALES'!$B$2:$S$475,18,0)</f>
        <v>19360</v>
      </c>
    </row>
    <row r="257" spans="1:21" x14ac:dyDescent="0.3">
      <c r="A257">
        <v>256</v>
      </c>
      <c r="B257">
        <v>22075</v>
      </c>
      <c r="C257" t="s">
        <v>2031</v>
      </c>
      <c r="D257" t="s">
        <v>1938</v>
      </c>
      <c r="E257" t="str">
        <f>VLOOKUP(B257,'MASTER DATA SLT'!$C$4:$H$544,6,0)</f>
        <v>BUS</v>
      </c>
      <c r="F257" t="str">
        <f>VLOOKUP(B257,'MASTER DATA SLT'!$C$4:$F$544,4,0)</f>
        <v>2022-06-26</v>
      </c>
      <c r="G257">
        <f>VLOOKUP(B257,'MASTER DATA SLT'!$C$4:$P$544,14,0)</f>
        <v>0</v>
      </c>
      <c r="I257">
        <f>VLOOKUP(B257,'MASTER DATA SLT'!$C$4:$Q$544,15,0)</f>
        <v>0</v>
      </c>
      <c r="J257">
        <f>VLOOKUP(B257,'MASTER DATA SLT'!$C$4:$R$544,16,0)</f>
        <v>0</v>
      </c>
      <c r="K257">
        <f>VLOOKUP(B257,'MASTER DATA SLT'!$C$4:$S$544,17,0)</f>
        <v>0</v>
      </c>
      <c r="N257" t="str">
        <f>VLOOKUP(B257,'SALARY DETALES'!$B$2:$C$475,2,0)</f>
        <v>RUNNER 2</v>
      </c>
      <c r="O257" t="str">
        <f>VLOOKUP(B257,'SALARY DETALES'!$B$2:$D$475,3,0)</f>
        <v>Runner</v>
      </c>
      <c r="Q257" t="str">
        <f>VLOOKUP(B257,'MASTER DATA SLT'!$C$4:$F$544,4,0)</f>
        <v>2022-06-26</v>
      </c>
      <c r="R257">
        <f>VLOOKUP(B257,'MASTER DATA SLT'!$C$4:$G$544,5,0)</f>
        <v>0</v>
      </c>
      <c r="U257">
        <f>VLOOKUP(B257,'SALARY DETALES'!$B$2:$S$475,18,0)</f>
        <v>17600</v>
      </c>
    </row>
    <row r="258" spans="1:21" x14ac:dyDescent="0.3">
      <c r="A258">
        <v>257</v>
      </c>
      <c r="B258">
        <v>22510</v>
      </c>
      <c r="C258" t="s">
        <v>1875</v>
      </c>
      <c r="D258" t="s">
        <v>2162</v>
      </c>
      <c r="E258" t="str">
        <f>VLOOKUP(B258,'MASTER DATA SLT'!$C$4:$H$544,6,0)</f>
        <v>NO</v>
      </c>
      <c r="F258" t="str">
        <f>VLOOKUP(B258,'MASTER DATA SLT'!$C$4:$F$544,4,0)</f>
        <v>2022-02-27</v>
      </c>
      <c r="G258">
        <f>VLOOKUP(B258,'MASTER DATA SLT'!$C$4:$P$544,14,0)</f>
        <v>0</v>
      </c>
      <c r="I258">
        <f>VLOOKUP(B258,'MASTER DATA SLT'!$C$4:$Q$544,15,0)</f>
        <v>0</v>
      </c>
      <c r="J258">
        <f>VLOOKUP(B258,'MASTER DATA SLT'!$C$4:$R$544,16,0)</f>
        <v>0</v>
      </c>
      <c r="K258">
        <f>VLOOKUP(B258,'MASTER DATA SLT'!$C$4:$S$544,17,0)</f>
        <v>0</v>
      </c>
      <c r="N258" t="str">
        <f>VLOOKUP(B258,'SALARY DETALES'!$B$2:$C$475,2,0)</f>
        <v>RUNNER 2</v>
      </c>
      <c r="O258" t="str">
        <f>VLOOKUP(B258,'SALARY DETALES'!$B$2:$D$475,3,0)</f>
        <v>Runner</v>
      </c>
      <c r="Q258" t="str">
        <f>VLOOKUP(B258,'MASTER DATA SLT'!$C$4:$F$544,4,0)</f>
        <v>2022-02-27</v>
      </c>
      <c r="R258">
        <f>VLOOKUP(B258,'MASTER DATA SLT'!$C$4:$G$544,5,0)</f>
        <v>15</v>
      </c>
      <c r="U258">
        <f>VLOOKUP(B258,'SALARY DETALES'!$B$2:$S$475,18,0)</f>
        <v>17600</v>
      </c>
    </row>
    <row r="259" spans="1:21" x14ac:dyDescent="0.3">
      <c r="A259">
        <v>258</v>
      </c>
      <c r="B259">
        <v>22152</v>
      </c>
      <c r="C259" t="s">
        <v>2032</v>
      </c>
      <c r="D259" t="s">
        <v>2033</v>
      </c>
      <c r="E259" t="str">
        <f>VLOOKUP(B259,'MASTER DATA SLT'!$C$4:$H$544,6,0)</f>
        <v>BUS</v>
      </c>
      <c r="F259" t="str">
        <f>VLOOKUP(B259,'MASTER DATA SLT'!$C$4:$F$544,4,0)</f>
        <v>2022-06-27</v>
      </c>
      <c r="G259">
        <f>VLOOKUP(B259,'MASTER DATA SLT'!$C$4:$P$544,14,0)</f>
        <v>0</v>
      </c>
      <c r="I259">
        <f>VLOOKUP(B259,'MASTER DATA SLT'!$C$4:$Q$544,15,0)</f>
        <v>0</v>
      </c>
      <c r="J259">
        <f>VLOOKUP(B259,'MASTER DATA SLT'!$C$4:$R$544,16,0)</f>
        <v>0</v>
      </c>
      <c r="K259">
        <f>VLOOKUP(B259,'MASTER DATA SLT'!$C$4:$S$544,17,0)</f>
        <v>0</v>
      </c>
      <c r="N259" t="str">
        <f>VLOOKUP(B259,'SALARY DETALES'!$B$2:$C$475,2,0)</f>
        <v>RUNNER 2</v>
      </c>
      <c r="O259" t="str">
        <f>VLOOKUP(B259,'SALARY DETALES'!$B$2:$D$475,3,0)</f>
        <v>Runner</v>
      </c>
      <c r="Q259" t="str">
        <f>VLOOKUP(B259,'MASTER DATA SLT'!$C$4:$F$544,4,0)</f>
        <v>2022-06-27</v>
      </c>
      <c r="R259">
        <f>VLOOKUP(B259,'MASTER DATA SLT'!$C$4:$G$544,5,0)</f>
        <v>0</v>
      </c>
      <c r="U259">
        <f>VLOOKUP(B259,'SALARY DETALES'!$B$2:$S$475,18,0)</f>
        <v>19360</v>
      </c>
    </row>
    <row r="260" spans="1:21" x14ac:dyDescent="0.3">
      <c r="A260">
        <v>259</v>
      </c>
      <c r="B260">
        <v>13009</v>
      </c>
      <c r="C260" t="s">
        <v>1845</v>
      </c>
      <c r="D260" t="s">
        <v>1869</v>
      </c>
      <c r="E260" t="str">
        <f>VLOOKUP(B260,'MASTER DATA SLT'!$C$4:$H$544,6,0)</f>
        <v>BUS</v>
      </c>
      <c r="F260" t="str">
        <f>VLOOKUP(B260,'MASTER DATA SLT'!$C$4:$F$544,4,0)</f>
        <v>2024-03-08</v>
      </c>
      <c r="G260">
        <f>VLOOKUP(B260,'MASTER DATA SLT'!$C$4:$P$544,14,0)</f>
        <v>0</v>
      </c>
      <c r="I260">
        <f>VLOOKUP(B260,'MASTER DATA SLT'!$C$4:$Q$544,15,0)</f>
        <v>0</v>
      </c>
      <c r="J260">
        <f>VLOOKUP(B260,'MASTER DATA SLT'!$C$4:$R$544,16,0)</f>
        <v>0</v>
      </c>
      <c r="K260">
        <f>VLOOKUP(B260,'MASTER DATA SLT'!$C$4:$S$544,17,0)</f>
        <v>0</v>
      </c>
      <c r="N260" t="str">
        <f>VLOOKUP(B260,'SALARY DETALES'!$B$2:$C$475,2,0)</f>
        <v>RUNNER 2</v>
      </c>
      <c r="O260" t="str">
        <f>VLOOKUP(B260,'SALARY DETALES'!$B$2:$D$475,3,0)</f>
        <v>Runner</v>
      </c>
      <c r="Q260" t="str">
        <f>VLOOKUP(B260,'MASTER DATA SLT'!$C$4:$F$544,4,0)</f>
        <v>2024-03-08</v>
      </c>
      <c r="R260">
        <f>VLOOKUP(B260,'MASTER DATA SLT'!$C$4:$G$544,5,0)</f>
        <v>0</v>
      </c>
      <c r="U260">
        <f>VLOOKUP(B260,'SALARY DETALES'!$B$2:$S$475,18,0)</f>
        <v>17600</v>
      </c>
    </row>
    <row r="261" spans="1:21" x14ac:dyDescent="0.3">
      <c r="A261">
        <v>260</v>
      </c>
      <c r="B261">
        <v>22203</v>
      </c>
      <c r="C261" t="s">
        <v>1874</v>
      </c>
      <c r="D261" t="s">
        <v>1992</v>
      </c>
      <c r="E261" t="str">
        <f>VLOOKUP(B261,'MASTER DATA SLT'!$C$4:$H$544,6,0)</f>
        <v>BUS</v>
      </c>
      <c r="F261" t="str">
        <f>VLOOKUP(B261,'MASTER DATA SLT'!$C$4:$F$544,4,0)</f>
        <v>2023-04-17</v>
      </c>
      <c r="G261" t="str">
        <f>VLOOKUP(B261,'MASTER DATA SLT'!$C$4:$P$544,14,0)</f>
        <v>42201-7900040</v>
      </c>
      <c r="I261">
        <f>VLOOKUP(B261,'MASTER DATA SLT'!$C$4:$Q$544,15,0)</f>
        <v>0</v>
      </c>
      <c r="J261">
        <f>VLOOKUP(B261,'MASTER DATA SLT'!$C$4:$R$544,16,0)</f>
        <v>0</v>
      </c>
      <c r="K261">
        <f>VLOOKUP(B261,'MASTER DATA SLT'!$C$4:$S$544,17,0)</f>
        <v>0</v>
      </c>
      <c r="N261" t="str">
        <f>VLOOKUP(B261,'SALARY DETALES'!$B$2:$C$475,2,0)</f>
        <v>RUNNER 2</v>
      </c>
      <c r="O261" t="str">
        <f>VLOOKUP(B261,'SALARY DETALES'!$B$2:$D$475,3,0)</f>
        <v>Runner</v>
      </c>
      <c r="Q261" t="str">
        <f>VLOOKUP(B261,'MASTER DATA SLT'!$C$4:$F$544,4,0)</f>
        <v>2023-04-17</v>
      </c>
      <c r="R261">
        <f>VLOOKUP(B261,'MASTER DATA SLT'!$C$4:$G$544,5,0)</f>
        <v>0</v>
      </c>
      <c r="U261">
        <f>VLOOKUP(B261,'SALARY DETALES'!$B$2:$S$475,18,0)</f>
        <v>17600</v>
      </c>
    </row>
    <row r="262" spans="1:21" x14ac:dyDescent="0.3">
      <c r="A262">
        <v>261</v>
      </c>
      <c r="B262">
        <v>12071</v>
      </c>
      <c r="C262" t="s">
        <v>461</v>
      </c>
      <c r="D262" t="s">
        <v>2137</v>
      </c>
      <c r="E262" t="str">
        <f>VLOOKUP(B262,'MASTER DATA SLT'!$C$4:$H$544,6,0)</f>
        <v>BUS</v>
      </c>
      <c r="F262" t="str">
        <f>VLOOKUP(B262,'MASTER DATA SLT'!$C$4:$F$544,4,0)</f>
        <v>2024-05-13</v>
      </c>
      <c r="G262">
        <f>VLOOKUP(B262,'MASTER DATA SLT'!$C$4:$P$544,14,0)</f>
        <v>0</v>
      </c>
      <c r="I262">
        <f>VLOOKUP(B262,'MASTER DATA SLT'!$C$4:$Q$544,15,0)</f>
        <v>0</v>
      </c>
      <c r="J262">
        <f>VLOOKUP(B262,'MASTER DATA SLT'!$C$4:$R$544,16,0)</f>
        <v>0</v>
      </c>
      <c r="K262">
        <f>VLOOKUP(B262,'MASTER DATA SLT'!$C$4:$S$544,17,0)</f>
        <v>0</v>
      </c>
      <c r="N262" t="str">
        <f>VLOOKUP(B262,'SALARY DETALES'!$B$2:$C$475,2,0)</f>
        <v>RUNNER 2</v>
      </c>
      <c r="O262" t="str">
        <f>VLOOKUP(B262,'SALARY DETALES'!$B$2:$D$475,3,0)</f>
        <v>Runner</v>
      </c>
      <c r="Q262" t="str">
        <f>VLOOKUP(B262,'MASTER DATA SLT'!$C$4:$F$544,4,0)</f>
        <v>2024-05-13</v>
      </c>
      <c r="R262">
        <f>VLOOKUP(B262,'MASTER DATA SLT'!$C$4:$G$544,5,0)</f>
        <v>0</v>
      </c>
      <c r="U262">
        <f>VLOOKUP(B262,'SALARY DETALES'!$B$2:$S$475,18,0)</f>
        <v>16000</v>
      </c>
    </row>
    <row r="263" spans="1:21" x14ac:dyDescent="0.3">
      <c r="A263">
        <v>262</v>
      </c>
      <c r="B263">
        <v>80394</v>
      </c>
      <c r="C263" t="s">
        <v>723</v>
      </c>
      <c r="D263" t="s">
        <v>1915</v>
      </c>
      <c r="E263" t="str">
        <f>VLOOKUP(B263,'MASTER DATA SLT'!$C$4:$H$544,6,0)</f>
        <v>BUS</v>
      </c>
      <c r="F263" t="str">
        <f>VLOOKUP(B263,'MASTER DATA SLT'!$C$4:$F$544,4,0)</f>
        <v>2024-09-20</v>
      </c>
      <c r="G263" t="str">
        <f>VLOOKUP(B263,'MASTER DATA SLT'!$C$4:$P$544,14,0)</f>
        <v>42101-5776562</v>
      </c>
      <c r="I263" t="str">
        <f>VLOOKUP(B263,'MASTER DATA SLT'!$C$4:$Q$544,15,0)</f>
        <v>0330-8649476</v>
      </c>
      <c r="J263">
        <f>VLOOKUP(B263,'MASTER DATA SLT'!$C$4:$R$544,16,0)</f>
        <v>0</v>
      </c>
      <c r="K263">
        <f>VLOOKUP(B263,'MASTER DATA SLT'!$C$4:$S$544,17,0)</f>
        <v>0</v>
      </c>
      <c r="N263" t="str">
        <f>VLOOKUP(B263,'SALARY DETALES'!$B$2:$C$475,2,0)</f>
        <v>RUNNER 2</v>
      </c>
      <c r="O263" t="str">
        <f>VLOOKUP(B263,'SALARY DETALES'!$B$2:$D$475,3,0)</f>
        <v>RUNNER</v>
      </c>
      <c r="Q263" t="str">
        <f>VLOOKUP(B263,'MASTER DATA SLT'!$C$4:$F$544,4,0)</f>
        <v>2024-09-20</v>
      </c>
      <c r="R263">
        <f>VLOOKUP(B263,'MASTER DATA SLT'!$C$4:$G$544,5,0)</f>
        <v>0</v>
      </c>
      <c r="U263">
        <f>VLOOKUP(B263,'SALARY DETALES'!$B$2:$S$475,18,0)</f>
        <v>17600</v>
      </c>
    </row>
    <row r="264" spans="1:21" x14ac:dyDescent="0.3">
      <c r="A264">
        <v>263</v>
      </c>
      <c r="B264">
        <v>80534</v>
      </c>
      <c r="C264" t="s">
        <v>112</v>
      </c>
      <c r="D264" t="s">
        <v>1874</v>
      </c>
      <c r="E264" t="str">
        <f>VLOOKUP(B264,'MASTER DATA SLT'!$C$4:$H$544,6,0)</f>
        <v>BUS</v>
      </c>
      <c r="F264" t="str">
        <f>VLOOKUP(B264,'MASTER DATA SLT'!$C$4:$F$544,4,0)</f>
        <v>2024-12-14</v>
      </c>
      <c r="G264" t="str">
        <f>VLOOKUP(B264,'MASTER DATA SLT'!$C$4:$P$544,14,0)</f>
        <v>42201-0248408</v>
      </c>
      <c r="I264" t="str">
        <f>VLOOKUP(B264,'MASTER DATA SLT'!$C$4:$Q$544,15,0)</f>
        <v>03332225392</v>
      </c>
      <c r="J264">
        <f>VLOOKUP(B264,'MASTER DATA SLT'!$C$4:$R$544,16,0)</f>
        <v>0</v>
      </c>
      <c r="K264">
        <f>VLOOKUP(B264,'MASTER DATA SLT'!$C$4:$S$544,17,0)</f>
        <v>0</v>
      </c>
      <c r="N264" t="str">
        <f>VLOOKUP(B264,'SALARY DETALES'!$B$2:$C$475,2,0)</f>
        <v>RUNNER 2</v>
      </c>
      <c r="O264" t="str">
        <f>VLOOKUP(B264,'SALARY DETALES'!$B$2:$D$475,3,0)</f>
        <v>RUNNER</v>
      </c>
      <c r="Q264" t="str">
        <f>VLOOKUP(B264,'MASTER DATA SLT'!$C$4:$F$544,4,0)</f>
        <v>2024-12-14</v>
      </c>
      <c r="R264">
        <f>VLOOKUP(B264,'MASTER DATA SLT'!$C$4:$G$544,5,0)</f>
        <v>0</v>
      </c>
      <c r="U264">
        <f>VLOOKUP(B264,'SALARY DETALES'!$B$2:$S$475,18,0)</f>
        <v>16000</v>
      </c>
    </row>
    <row r="265" spans="1:21" x14ac:dyDescent="0.3">
      <c r="A265">
        <v>264</v>
      </c>
      <c r="B265">
        <v>80539</v>
      </c>
      <c r="C265" t="s">
        <v>386</v>
      </c>
      <c r="D265" t="s">
        <v>2137</v>
      </c>
      <c r="E265" t="str">
        <f>VLOOKUP(B265,'MASTER DATA SLT'!$C$4:$H$544,6,0)</f>
        <v>BUS</v>
      </c>
      <c r="F265" t="str">
        <f>VLOOKUP(B265,'MASTER DATA SLT'!$C$4:$F$544,4,0)</f>
        <v>2024-12-16</v>
      </c>
      <c r="G265" t="str">
        <f>VLOOKUP(B265,'MASTER DATA SLT'!$C$4:$P$544,14,0)</f>
        <v>42201-0563406</v>
      </c>
      <c r="I265" t="str">
        <f>VLOOKUP(B265,'MASTER DATA SLT'!$C$4:$Q$544,15,0)</f>
        <v>0337892195</v>
      </c>
      <c r="J265">
        <f>VLOOKUP(B265,'MASTER DATA SLT'!$C$4:$R$544,16,0)</f>
        <v>0</v>
      </c>
      <c r="K265">
        <f>VLOOKUP(B265,'MASTER DATA SLT'!$C$4:$S$544,17,0)</f>
        <v>0</v>
      </c>
      <c r="N265" t="str">
        <f>VLOOKUP(B265,'SALARY DETALES'!$B$2:$C$475,2,0)</f>
        <v>RUNNER 2</v>
      </c>
      <c r="O265" t="str">
        <f>VLOOKUP(B265,'SALARY DETALES'!$B$2:$D$475,3,0)</f>
        <v>RUNNER</v>
      </c>
      <c r="Q265" t="str">
        <f>VLOOKUP(B265,'MASTER DATA SLT'!$C$4:$F$544,4,0)</f>
        <v>2024-12-16</v>
      </c>
      <c r="R265">
        <f>VLOOKUP(B265,'MASTER DATA SLT'!$C$4:$G$544,5,0)</f>
        <v>0</v>
      </c>
      <c r="U265">
        <f>VLOOKUP(B265,'SALARY DETALES'!$B$2:$S$475,18,0)</f>
        <v>16000</v>
      </c>
    </row>
    <row r="266" spans="1:21" x14ac:dyDescent="0.3">
      <c r="A266">
        <v>265</v>
      </c>
      <c r="B266">
        <v>80683</v>
      </c>
      <c r="C266" t="s">
        <v>1905</v>
      </c>
      <c r="D266" t="s">
        <v>1863</v>
      </c>
      <c r="E266" t="str">
        <f>VLOOKUP(B266,'MASTER DATA SLT'!$C$4:$H$544,6,0)</f>
        <v>BUS</v>
      </c>
      <c r="F266" t="str">
        <f>VLOOKUP(B266,'MASTER DATA SLT'!$C$4:$F$544,4,0)</f>
        <v>2025-03-09</v>
      </c>
      <c r="G266">
        <f>VLOOKUP(B266,'MASTER DATA SLT'!$C$4:$P$544,14,0)</f>
        <v>0</v>
      </c>
      <c r="I266">
        <f>VLOOKUP(B266,'MASTER DATA SLT'!$C$4:$Q$544,15,0)</f>
        <v>0</v>
      </c>
      <c r="J266">
        <f>VLOOKUP(B266,'MASTER DATA SLT'!$C$4:$R$544,16,0)</f>
        <v>0</v>
      </c>
      <c r="K266">
        <f>VLOOKUP(B266,'MASTER DATA SLT'!$C$4:$S$544,17,0)</f>
        <v>0</v>
      </c>
      <c r="N266" t="str">
        <f>VLOOKUP(B266,'SALARY DETALES'!$B$2:$C$475,2,0)</f>
        <v>RUNNER 2</v>
      </c>
      <c r="O266" t="str">
        <f>VLOOKUP(B266,'SALARY DETALES'!$B$2:$D$475,3,0)</f>
        <v>Runner</v>
      </c>
      <c r="Q266" t="str">
        <f>VLOOKUP(B266,'MASTER DATA SLT'!$C$4:$F$544,4,0)</f>
        <v>2025-03-09</v>
      </c>
      <c r="R266">
        <f>VLOOKUP(B266,'MASTER DATA SLT'!$C$4:$G$544,5,0)</f>
        <v>0</v>
      </c>
      <c r="U266">
        <f>VLOOKUP(B266,'SALARY DETALES'!$B$2:$S$475,18,0)</f>
        <v>16000</v>
      </c>
    </row>
    <row r="267" spans="1:21" x14ac:dyDescent="0.3">
      <c r="A267">
        <v>266</v>
      </c>
      <c r="B267">
        <v>80684</v>
      </c>
      <c r="C267" t="s">
        <v>440</v>
      </c>
      <c r="D267" t="s">
        <v>1996</v>
      </c>
      <c r="E267" t="str">
        <f>VLOOKUP(B267,'MASTER DATA SLT'!$C$4:$H$544,6,0)</f>
        <v>BUS</v>
      </c>
      <c r="F267" t="str">
        <f>VLOOKUP(B267,'MASTER DATA SLT'!$C$4:$F$544,4,0)</f>
        <v>2025-03-09</v>
      </c>
      <c r="G267">
        <f>VLOOKUP(B267,'MASTER DATA SLT'!$C$4:$P$544,14,0)</f>
        <v>0</v>
      </c>
      <c r="I267">
        <f>VLOOKUP(B267,'MASTER DATA SLT'!$C$4:$Q$544,15,0)</f>
        <v>0</v>
      </c>
      <c r="J267">
        <f>VLOOKUP(B267,'MASTER DATA SLT'!$C$4:$R$544,16,0)</f>
        <v>0</v>
      </c>
      <c r="K267">
        <f>VLOOKUP(B267,'MASTER DATA SLT'!$C$4:$S$544,17,0)</f>
        <v>0</v>
      </c>
      <c r="N267" t="str">
        <f>VLOOKUP(B267,'SALARY DETALES'!$B$2:$C$475,2,0)</f>
        <v>RUNNER 2</v>
      </c>
      <c r="O267" t="str">
        <f>VLOOKUP(B267,'SALARY DETALES'!$B$2:$D$475,3,0)</f>
        <v>Runner</v>
      </c>
      <c r="Q267" t="str">
        <f>VLOOKUP(B267,'MASTER DATA SLT'!$C$4:$F$544,4,0)</f>
        <v>2025-03-09</v>
      </c>
      <c r="R267">
        <f>VLOOKUP(B267,'MASTER DATA SLT'!$C$4:$G$544,5,0)</f>
        <v>0</v>
      </c>
      <c r="U267">
        <f>VLOOKUP(B267,'SALARY DETALES'!$B$2:$S$475,18,0)</f>
        <v>16000</v>
      </c>
    </row>
    <row r="268" spans="1:21" x14ac:dyDescent="0.3">
      <c r="A268">
        <v>267</v>
      </c>
      <c r="B268">
        <v>80685</v>
      </c>
      <c r="C268" t="s">
        <v>466</v>
      </c>
      <c r="D268" t="s">
        <v>2137</v>
      </c>
      <c r="E268" t="str">
        <f>VLOOKUP(B268,'MASTER DATA SLT'!$C$4:$H$544,6,0)</f>
        <v>BUS</v>
      </c>
      <c r="F268" t="str">
        <f>VLOOKUP(B268,'MASTER DATA SLT'!$C$4:$F$544,4,0)</f>
        <v>2025-03-10</v>
      </c>
      <c r="G268">
        <f>VLOOKUP(B268,'MASTER DATA SLT'!$C$4:$P$544,14,0)</f>
        <v>0</v>
      </c>
      <c r="I268">
        <f>VLOOKUP(B268,'MASTER DATA SLT'!$C$4:$Q$544,15,0)</f>
        <v>0</v>
      </c>
      <c r="J268">
        <f>VLOOKUP(B268,'MASTER DATA SLT'!$C$4:$R$544,16,0)</f>
        <v>0</v>
      </c>
      <c r="K268">
        <f>VLOOKUP(B268,'MASTER DATA SLT'!$C$4:$S$544,17,0)</f>
        <v>0</v>
      </c>
      <c r="N268" t="str">
        <f>VLOOKUP(B268,'SALARY DETALES'!$B$2:$C$475,2,0)</f>
        <v>RUNNER 2</v>
      </c>
      <c r="O268" t="str">
        <f>VLOOKUP(B268,'SALARY DETALES'!$B$2:$D$475,3,0)</f>
        <v>Runner</v>
      </c>
      <c r="Q268" t="str">
        <f>VLOOKUP(B268,'MASTER DATA SLT'!$C$4:$F$544,4,0)</f>
        <v>2025-03-10</v>
      </c>
      <c r="R268">
        <f>VLOOKUP(B268,'MASTER DATA SLT'!$C$4:$G$544,5,0)</f>
        <v>0</v>
      </c>
      <c r="U268">
        <f>VLOOKUP(B268,'SALARY DETALES'!$B$2:$S$475,18,0)</f>
        <v>16000</v>
      </c>
    </row>
    <row r="269" spans="1:21" x14ac:dyDescent="0.3">
      <c r="A269">
        <v>268</v>
      </c>
      <c r="B269">
        <v>80686</v>
      </c>
      <c r="C269" t="s">
        <v>342</v>
      </c>
      <c r="D269" t="s">
        <v>2034</v>
      </c>
      <c r="E269" t="str">
        <f>VLOOKUP(B269,'MASTER DATA SLT'!$C$4:$H$544,6,0)</f>
        <v>BUS</v>
      </c>
      <c r="F269" t="str">
        <f>VLOOKUP(B269,'MASTER DATA SLT'!$C$4:$F$544,4,0)</f>
        <v>2025-03-01</v>
      </c>
      <c r="G269">
        <f>VLOOKUP(B269,'MASTER DATA SLT'!$C$4:$P$544,14,0)</f>
        <v>0</v>
      </c>
      <c r="I269">
        <f>VLOOKUP(B269,'MASTER DATA SLT'!$C$4:$Q$544,15,0)</f>
        <v>0</v>
      </c>
      <c r="J269">
        <f>VLOOKUP(B269,'MASTER DATA SLT'!$C$4:$R$544,16,0)</f>
        <v>0</v>
      </c>
      <c r="K269">
        <f>VLOOKUP(B269,'MASTER DATA SLT'!$C$4:$S$544,17,0)</f>
        <v>0</v>
      </c>
      <c r="N269" t="str">
        <f>VLOOKUP(B269,'SALARY DETALES'!$B$2:$C$475,2,0)</f>
        <v>RUNNER 2</v>
      </c>
      <c r="O269" t="str">
        <f>VLOOKUP(B269,'SALARY DETALES'!$B$2:$D$475,3,0)</f>
        <v>RUNNER</v>
      </c>
      <c r="Q269" t="str">
        <f>VLOOKUP(B269,'MASTER DATA SLT'!$C$4:$F$544,4,0)</f>
        <v>2025-03-01</v>
      </c>
      <c r="R269">
        <f>VLOOKUP(B269,'MASTER DATA SLT'!$C$4:$G$544,5,0)</f>
        <v>0</v>
      </c>
      <c r="U269">
        <f>VLOOKUP(B269,'SALARY DETALES'!$B$2:$S$475,18,0)</f>
        <v>16000</v>
      </c>
    </row>
    <row r="270" spans="1:21" x14ac:dyDescent="0.3">
      <c r="A270">
        <v>269</v>
      </c>
      <c r="B270">
        <v>80711</v>
      </c>
      <c r="C270" t="s">
        <v>2035</v>
      </c>
      <c r="D270" t="s">
        <v>1883</v>
      </c>
      <c r="E270" t="str">
        <f>VLOOKUP(B270,'MASTER DATA SLT'!$C$4:$H$544,6,0)</f>
        <v>BUS</v>
      </c>
      <c r="F270" t="str">
        <f>VLOOKUP(B270,'MASTER DATA SLT'!$C$4:$F$544,4,0)</f>
        <v>2025-03-01</v>
      </c>
      <c r="G270">
        <f>VLOOKUP(B270,'MASTER DATA SLT'!$C$4:$P$544,14,0)</f>
        <v>0</v>
      </c>
      <c r="I270">
        <f>VLOOKUP(B270,'MASTER DATA SLT'!$C$4:$Q$544,15,0)</f>
        <v>0</v>
      </c>
      <c r="J270">
        <f>VLOOKUP(B270,'MASTER DATA SLT'!$C$4:$R$544,16,0)</f>
        <v>0</v>
      </c>
      <c r="K270">
        <f>VLOOKUP(B270,'MASTER DATA SLT'!$C$4:$S$544,17,0)</f>
        <v>0</v>
      </c>
      <c r="N270" t="str">
        <f>VLOOKUP(B270,'SALARY DETALES'!$B$2:$C$475,2,0)</f>
        <v>RUNNER 2</v>
      </c>
      <c r="O270" t="str">
        <f>VLOOKUP(B270,'SALARY DETALES'!$B$2:$D$475,3,0)</f>
        <v>Runner</v>
      </c>
      <c r="Q270" t="str">
        <f>VLOOKUP(B270,'MASTER DATA SLT'!$C$4:$F$544,4,0)</f>
        <v>2025-03-01</v>
      </c>
      <c r="R270">
        <f>VLOOKUP(B270,'MASTER DATA SLT'!$C$4:$G$544,5,0)</f>
        <v>0</v>
      </c>
      <c r="U270">
        <f>VLOOKUP(B270,'SALARY DETALES'!$B$2:$S$475,18,0)</f>
        <v>16000</v>
      </c>
    </row>
    <row r="271" spans="1:21" x14ac:dyDescent="0.3">
      <c r="A271">
        <v>270</v>
      </c>
      <c r="B271">
        <v>80744</v>
      </c>
      <c r="C271" t="s">
        <v>1891</v>
      </c>
      <c r="D271" t="s">
        <v>1846</v>
      </c>
      <c r="E271" t="str">
        <f>VLOOKUP(B271,'MASTER DATA SLT'!$C$4:$H$544,6,0)</f>
        <v>BUS</v>
      </c>
      <c r="F271" t="str">
        <f>VLOOKUP(B271,'MASTER DATA SLT'!$C$4:$F$544,4,0)</f>
        <v>2025-03-29</v>
      </c>
      <c r="G271" t="str">
        <f>VLOOKUP(B271,'MASTER DATA SLT'!$C$4:$P$544,14,0)</f>
        <v>53405-8885495</v>
      </c>
      <c r="I271">
        <f>VLOOKUP(B271,'MASTER DATA SLT'!$C$4:$Q$544,15,0)</f>
        <v>0</v>
      </c>
      <c r="J271">
        <f>VLOOKUP(B271,'MASTER DATA SLT'!$C$4:$R$544,16,0)</f>
        <v>0</v>
      </c>
      <c r="K271">
        <f>VLOOKUP(B271,'MASTER DATA SLT'!$C$4:$S$544,17,0)</f>
        <v>0</v>
      </c>
      <c r="N271" t="str">
        <f>VLOOKUP(B271,'SALARY DETALES'!$B$2:$C$475,2,0)</f>
        <v>RUNNER 2</v>
      </c>
      <c r="O271" t="str">
        <f>VLOOKUP(B271,'SALARY DETALES'!$B$2:$D$475,3,0)</f>
        <v>Runner</v>
      </c>
      <c r="Q271" t="str">
        <f>VLOOKUP(B271,'MASTER DATA SLT'!$C$4:$F$544,4,0)</f>
        <v>2025-03-29</v>
      </c>
      <c r="R271">
        <f>VLOOKUP(B271,'MASTER DATA SLT'!$C$4:$G$544,5,0)</f>
        <v>0</v>
      </c>
      <c r="U271">
        <f>VLOOKUP(B271,'SALARY DETALES'!$B$2:$S$475,18,0)</f>
        <v>16000</v>
      </c>
    </row>
    <row r="272" spans="1:21" x14ac:dyDescent="0.3">
      <c r="A272">
        <v>271</v>
      </c>
      <c r="B272">
        <v>80796</v>
      </c>
      <c r="C272" t="s">
        <v>1845</v>
      </c>
      <c r="D272" t="s">
        <v>1982</v>
      </c>
      <c r="E272" t="str">
        <f>VLOOKUP(B272,'MASTER DATA SLT'!$C$4:$H$544,6,0)</f>
        <v>BUS</v>
      </c>
      <c r="F272" t="str">
        <f>VLOOKUP(B272,'MASTER DATA SLT'!$C$4:$F$544,4,0)</f>
        <v>2025-04-17</v>
      </c>
      <c r="G272">
        <f>VLOOKUP(B272,'MASTER DATA SLT'!$C$4:$P$544,14,0)</f>
        <v>0</v>
      </c>
      <c r="I272">
        <f>VLOOKUP(B272,'MASTER DATA SLT'!$C$4:$Q$544,15,0)</f>
        <v>0</v>
      </c>
      <c r="J272">
        <f>VLOOKUP(B272,'MASTER DATA SLT'!$C$4:$R$544,16,0)</f>
        <v>0</v>
      </c>
      <c r="K272">
        <f>VLOOKUP(B272,'MASTER DATA SLT'!$C$4:$S$544,17,0)</f>
        <v>0</v>
      </c>
      <c r="N272" t="str">
        <f>VLOOKUP(B272,'SALARY DETALES'!$B$2:$C$475,2,0)</f>
        <v>RUNNER 2</v>
      </c>
      <c r="O272" t="str">
        <f>VLOOKUP(B272,'SALARY DETALES'!$B$2:$D$475,3,0)</f>
        <v>Runner</v>
      </c>
      <c r="Q272" t="str">
        <f>VLOOKUP(B272,'MASTER DATA SLT'!$C$4:$F$544,4,0)</f>
        <v>2025-04-17</v>
      </c>
      <c r="R272">
        <f>VLOOKUP(B272,'MASTER DATA SLT'!$C$4:$G$544,5,0)</f>
        <v>0</v>
      </c>
      <c r="U272">
        <f>VLOOKUP(B272,'SALARY DETALES'!$B$2:$S$475,18,0)</f>
        <v>16000</v>
      </c>
    </row>
    <row r="273" spans="1:21" x14ac:dyDescent="0.3">
      <c r="A273">
        <v>272</v>
      </c>
      <c r="B273">
        <v>80801</v>
      </c>
      <c r="C273" t="s">
        <v>471</v>
      </c>
      <c r="D273" t="s">
        <v>2137</v>
      </c>
      <c r="E273" t="str">
        <f>VLOOKUP(B273,'MASTER DATA SLT'!$C$4:$H$544,6,0)</f>
        <v>BUS</v>
      </c>
      <c r="F273" t="str">
        <f>VLOOKUP(B273,'MASTER DATA SLT'!$C$4:$F$544,4,0)</f>
        <v>2025-04-27</v>
      </c>
      <c r="G273">
        <f>VLOOKUP(B273,'MASTER DATA SLT'!$C$4:$P$544,14,0)</f>
        <v>0</v>
      </c>
      <c r="I273">
        <f>VLOOKUP(B273,'MASTER DATA SLT'!$C$4:$Q$544,15,0)</f>
        <v>0</v>
      </c>
      <c r="J273">
        <f>VLOOKUP(B273,'MASTER DATA SLT'!$C$4:$R$544,16,0)</f>
        <v>0</v>
      </c>
      <c r="K273">
        <f>VLOOKUP(B273,'MASTER DATA SLT'!$C$4:$S$544,17,0)</f>
        <v>0</v>
      </c>
      <c r="N273" t="str">
        <f>VLOOKUP(B273,'SALARY DETALES'!$B$2:$C$475,2,0)</f>
        <v>RUNNER 2</v>
      </c>
      <c r="O273" t="str">
        <f>VLOOKUP(B273,'SALARY DETALES'!$B$2:$D$475,3,0)</f>
        <v>DISPATCH</v>
      </c>
      <c r="Q273" t="str">
        <f>VLOOKUP(B273,'MASTER DATA SLT'!$C$4:$F$544,4,0)</f>
        <v>2025-04-27</v>
      </c>
      <c r="R273">
        <f>VLOOKUP(B273,'MASTER DATA SLT'!$C$4:$G$544,5,0)</f>
        <v>0</v>
      </c>
      <c r="U273">
        <f>VLOOKUP(B273,'SALARY DETALES'!$B$2:$S$475,18,0)</f>
        <v>16000</v>
      </c>
    </row>
    <row r="274" spans="1:21" x14ac:dyDescent="0.3">
      <c r="A274">
        <v>273</v>
      </c>
      <c r="B274">
        <v>22197</v>
      </c>
      <c r="C274" t="s">
        <v>1845</v>
      </c>
      <c r="D274" t="s">
        <v>2163</v>
      </c>
      <c r="E274" t="str">
        <f>VLOOKUP(B274,'MASTER DATA SLT'!$C$4:$H$544,6,0)</f>
        <v>BUS</v>
      </c>
      <c r="F274" t="str">
        <f>VLOOKUP(B274,'MASTER DATA SLT'!$C$4:$F$544,4,0)</f>
        <v>2023-03-03</v>
      </c>
      <c r="G274" t="str">
        <f>VLOOKUP(B274,'MASTER DATA SLT'!$C$4:$P$544,14,0)</f>
        <v>42601-0369136</v>
      </c>
      <c r="I274">
        <f>VLOOKUP(B274,'MASTER DATA SLT'!$C$4:$Q$544,15,0)</f>
        <v>0</v>
      </c>
      <c r="J274">
        <f>VLOOKUP(B274,'MASTER DATA SLT'!$C$4:$R$544,16,0)</f>
        <v>0</v>
      </c>
      <c r="K274">
        <f>VLOOKUP(B274,'MASTER DATA SLT'!$C$4:$S$544,17,0)</f>
        <v>0</v>
      </c>
      <c r="N274" t="str">
        <f>VLOOKUP(B274,'SALARY DETALES'!$B$2:$C$475,2,0)</f>
        <v>SALAD BAR</v>
      </c>
      <c r="O274" t="str">
        <f>VLOOKUP(B274,'SALARY DETALES'!$B$2:$D$475,3,0)</f>
        <v>Salad Bar</v>
      </c>
      <c r="Q274" t="str">
        <f>VLOOKUP(B274,'MASTER DATA SLT'!$C$4:$F$544,4,0)</f>
        <v>2023-03-03</v>
      </c>
      <c r="R274">
        <f>VLOOKUP(B274,'MASTER DATA SLT'!$C$4:$G$544,5,0)</f>
        <v>0</v>
      </c>
      <c r="U274">
        <f>VLOOKUP(B274,'SALARY DETALES'!$B$2:$S$475,18,0)</f>
        <v>24000</v>
      </c>
    </row>
    <row r="275" spans="1:21" x14ac:dyDescent="0.3">
      <c r="A275">
        <v>274</v>
      </c>
      <c r="B275">
        <v>21023</v>
      </c>
      <c r="C275" t="s">
        <v>2036</v>
      </c>
      <c r="D275" t="s">
        <v>1855</v>
      </c>
      <c r="E275" t="str">
        <f>VLOOKUP(B275,'MASTER DATA SLT'!$C$4:$H$544,6,0)</f>
        <v>BUS</v>
      </c>
      <c r="F275" t="str">
        <f>VLOOKUP(B275,'MASTER DATA SLT'!$C$4:$F$544,4,0)</f>
        <v>2024-07-25</v>
      </c>
      <c r="G275" t="str">
        <f>VLOOKUP(B275,'MASTER DATA SLT'!$C$4:$P$544,14,0)</f>
        <v>42201-8650482</v>
      </c>
      <c r="I275" t="str">
        <f>VLOOKUP(B275,'MASTER DATA SLT'!$C$4:$Q$544,15,0)</f>
        <v>0315-2561715</v>
      </c>
      <c r="J275">
        <f>VLOOKUP(B275,'MASTER DATA SLT'!$C$4:$R$544,16,0)</f>
        <v>0</v>
      </c>
      <c r="K275">
        <f>VLOOKUP(B275,'MASTER DATA SLT'!$C$4:$S$544,17,0)</f>
        <v>0</v>
      </c>
      <c r="N275" t="str">
        <f>VLOOKUP(B275,'SALARY DETALES'!$B$2:$C$475,2,0)</f>
        <v>SALAD BAR</v>
      </c>
      <c r="O275" t="str">
        <f>VLOOKUP(B275,'SALARY DETALES'!$B$2:$D$475,3,0)</f>
        <v>Helper</v>
      </c>
      <c r="Q275" t="str">
        <f>VLOOKUP(B275,'MASTER DATA SLT'!$C$4:$F$544,4,0)</f>
        <v>2024-07-25</v>
      </c>
      <c r="R275">
        <f>VLOOKUP(B275,'MASTER DATA SLT'!$C$4:$G$544,5,0)</f>
        <v>0</v>
      </c>
      <c r="U275">
        <f>VLOOKUP(B275,'SALARY DETALES'!$B$2:$S$475,18,0)</f>
        <v>25000</v>
      </c>
    </row>
    <row r="276" spans="1:21" x14ac:dyDescent="0.3">
      <c r="A276">
        <v>275</v>
      </c>
      <c r="B276">
        <v>80692</v>
      </c>
      <c r="C276" t="s">
        <v>477</v>
      </c>
      <c r="D276" t="s">
        <v>2137</v>
      </c>
      <c r="E276" t="str">
        <f>VLOOKUP(B276,'MASTER DATA SLT'!$C$4:$H$544,6,0)</f>
        <v>BUS</v>
      </c>
      <c r="F276" t="str">
        <f>VLOOKUP(B276,'MASTER DATA SLT'!$C$4:$F$544,4,0)</f>
        <v>2025-03-12</v>
      </c>
      <c r="G276">
        <f>VLOOKUP(B276,'MASTER DATA SLT'!$C$4:$P$544,14,0)</f>
        <v>0</v>
      </c>
      <c r="I276">
        <f>VLOOKUP(B276,'MASTER DATA SLT'!$C$4:$Q$544,15,0)</f>
        <v>0</v>
      </c>
      <c r="J276">
        <f>VLOOKUP(B276,'MASTER DATA SLT'!$C$4:$R$544,16,0)</f>
        <v>0</v>
      </c>
      <c r="K276">
        <f>VLOOKUP(B276,'MASTER DATA SLT'!$C$4:$S$544,17,0)</f>
        <v>0</v>
      </c>
      <c r="N276" t="str">
        <f>VLOOKUP(B276,'SALARY DETALES'!$B$2:$C$475,2,0)</f>
        <v>SALAD BAR</v>
      </c>
      <c r="O276" t="str">
        <f>VLOOKUP(B276,'SALARY DETALES'!$B$2:$D$475,3,0)</f>
        <v>COMIC</v>
      </c>
      <c r="Q276" t="str">
        <f>VLOOKUP(B276,'MASTER DATA SLT'!$C$4:$F$544,4,0)</f>
        <v>2025-03-12</v>
      </c>
      <c r="R276">
        <f>VLOOKUP(B276,'MASTER DATA SLT'!$C$4:$G$544,5,0)</f>
        <v>0</v>
      </c>
      <c r="U276">
        <f>VLOOKUP(B276,'SALARY DETALES'!$B$2:$S$475,18,0)</f>
        <v>35000</v>
      </c>
    </row>
    <row r="277" spans="1:21" x14ac:dyDescent="0.3">
      <c r="A277">
        <v>276</v>
      </c>
      <c r="B277">
        <v>80739</v>
      </c>
      <c r="C277" t="s">
        <v>478</v>
      </c>
      <c r="D277" t="s">
        <v>2137</v>
      </c>
      <c r="E277" t="str">
        <f>VLOOKUP(B277,'MASTER DATA SLT'!$C$4:$H$544,6,0)</f>
        <v>BUS</v>
      </c>
      <c r="F277" t="str">
        <f>VLOOKUP(B277,'MASTER DATA SLT'!$C$4:$F$544,4,0)</f>
        <v>2025-04-30</v>
      </c>
      <c r="G277" t="str">
        <f>VLOOKUP(B277,'MASTER DATA SLT'!$C$4:$P$544,14,0)</f>
        <v>42201-7865980</v>
      </c>
      <c r="I277">
        <f>VLOOKUP(B277,'MASTER DATA SLT'!$C$4:$Q$544,15,0)</f>
        <v>0</v>
      </c>
      <c r="J277">
        <f>VLOOKUP(B277,'MASTER DATA SLT'!$C$4:$R$544,16,0)</f>
        <v>0</v>
      </c>
      <c r="K277">
        <f>VLOOKUP(B277,'MASTER DATA SLT'!$C$4:$S$544,17,0)</f>
        <v>0</v>
      </c>
      <c r="N277" t="str">
        <f>VLOOKUP(B277,'SALARY DETALES'!$B$2:$C$475,2,0)</f>
        <v>SALAD BAR</v>
      </c>
      <c r="O277" t="str">
        <f>VLOOKUP(B277,'SALARY DETALES'!$B$2:$D$475,3,0)</f>
        <v>Helper</v>
      </c>
      <c r="Q277" t="str">
        <f>VLOOKUP(B277,'MASTER DATA SLT'!$C$4:$F$544,4,0)</f>
        <v>2025-04-30</v>
      </c>
      <c r="R277">
        <f>VLOOKUP(B277,'MASTER DATA SLT'!$C$4:$G$544,5,0)</f>
        <v>0</v>
      </c>
      <c r="U277">
        <f>VLOOKUP(B277,'SALARY DETALES'!$B$2:$S$475,18,0)</f>
        <v>25000</v>
      </c>
    </row>
    <row r="278" spans="1:21" x14ac:dyDescent="0.3">
      <c r="A278">
        <v>277</v>
      </c>
      <c r="B278">
        <v>80757</v>
      </c>
      <c r="C278" t="s">
        <v>2037</v>
      </c>
      <c r="D278" t="s">
        <v>1869</v>
      </c>
      <c r="E278" t="str">
        <f>VLOOKUP(B278,'MASTER DATA SLT'!$C$4:$H$544,6,0)</f>
        <v>BUS</v>
      </c>
      <c r="F278" t="str">
        <f>VLOOKUP(B278,'MASTER DATA SLT'!$C$4:$F$544,4,0)</f>
        <v>2025-04-13</v>
      </c>
      <c r="G278" t="str">
        <f>VLOOKUP(B278,'MASTER DATA SLT'!$C$4:$P$544,14,0)</f>
        <v>45404-0558759</v>
      </c>
      <c r="I278" t="str">
        <f>VLOOKUP(B278,'MASTER DATA SLT'!$C$4:$Q$544,15,0)</f>
        <v>0303-3453011</v>
      </c>
      <c r="J278">
        <f>VLOOKUP(B278,'MASTER DATA SLT'!$C$4:$R$544,16,0)</f>
        <v>0</v>
      </c>
      <c r="K278">
        <f>VLOOKUP(B278,'MASTER DATA SLT'!$C$4:$S$544,17,0)</f>
        <v>0</v>
      </c>
      <c r="N278" t="str">
        <f>VLOOKUP(B278,'SALARY DETALES'!$B$2:$C$475,2,0)</f>
        <v>SALAD BAR</v>
      </c>
      <c r="O278" t="str">
        <f>VLOOKUP(B278,'SALARY DETALES'!$B$2:$D$475,3,0)</f>
        <v>SALAD BAR HELPER</v>
      </c>
      <c r="Q278" t="str">
        <f>VLOOKUP(B278,'MASTER DATA SLT'!$C$4:$F$544,4,0)</f>
        <v>2025-04-13</v>
      </c>
      <c r="R278">
        <f>VLOOKUP(B278,'MASTER DATA SLT'!$C$4:$G$544,5,0)</f>
        <v>0</v>
      </c>
      <c r="U278">
        <f>VLOOKUP(B278,'SALARY DETALES'!$B$2:$S$475,18,0)</f>
        <v>22000</v>
      </c>
    </row>
    <row r="279" spans="1:21" x14ac:dyDescent="0.3">
      <c r="A279">
        <v>278</v>
      </c>
      <c r="B279">
        <v>28061</v>
      </c>
      <c r="C279" t="s">
        <v>483</v>
      </c>
      <c r="D279" t="s">
        <v>2137</v>
      </c>
      <c r="E279" t="str">
        <f>VLOOKUP(B279,'MASTER DATA SLT'!$C$4:$H$544,6,0)</f>
        <v>BUS</v>
      </c>
      <c r="F279" t="str">
        <f>VLOOKUP(B279,'MASTER DATA SLT'!$C$4:$F$544,4,0)</f>
        <v>2022-08-27</v>
      </c>
      <c r="G279">
        <f>VLOOKUP(B279,'MASTER DATA SLT'!$C$4:$P$544,14,0)</f>
        <v>0</v>
      </c>
      <c r="I279">
        <f>VLOOKUP(B279,'MASTER DATA SLT'!$C$4:$Q$544,15,0)</f>
        <v>0</v>
      </c>
      <c r="J279">
        <f>VLOOKUP(B279,'MASTER DATA SLT'!$C$4:$R$544,16,0)</f>
        <v>0</v>
      </c>
      <c r="K279">
        <f>VLOOKUP(B279,'MASTER DATA SLT'!$C$4:$S$544,17,0)</f>
        <v>0</v>
      </c>
      <c r="N279" t="str">
        <f>VLOOKUP(B279,'SALARY DETALES'!$B$2:$C$475,2,0)</f>
        <v>Section A #1</v>
      </c>
      <c r="O279" t="str">
        <f>VLOOKUP(B279,'SALARY DETALES'!$B$2:$D$475,3,0)</f>
        <v>BST</v>
      </c>
      <c r="Q279" t="str">
        <f>VLOOKUP(B279,'MASTER DATA SLT'!$C$4:$F$544,4,0)</f>
        <v>2022-08-27</v>
      </c>
      <c r="R279">
        <f>VLOOKUP(B279,'MASTER DATA SLT'!$C$4:$G$544,5,0)</f>
        <v>0</v>
      </c>
      <c r="U279">
        <f>VLOOKUP(B279,'SALARY DETALES'!$B$2:$S$475,18,0)</f>
        <v>18000</v>
      </c>
    </row>
    <row r="280" spans="1:21" x14ac:dyDescent="0.3">
      <c r="A280">
        <v>279</v>
      </c>
      <c r="B280">
        <v>27225</v>
      </c>
      <c r="C280" t="s">
        <v>2038</v>
      </c>
      <c r="D280" t="s">
        <v>1854</v>
      </c>
      <c r="E280" t="str">
        <f>VLOOKUP(B280,'MASTER DATA SLT'!$C$4:$H$544,6,0)</f>
        <v>BUS</v>
      </c>
      <c r="F280" t="str">
        <f>VLOOKUP(B280,'MASTER DATA SLT'!$C$4:$F$544,4,0)</f>
        <v>2024-06-26</v>
      </c>
      <c r="G280" t="str">
        <f>VLOOKUP(B280,'MASTER DATA SLT'!$C$4:$P$544,14,0)</f>
        <v>71202-7671633</v>
      </c>
      <c r="I280" t="str">
        <f>VLOOKUP(B280,'MASTER DATA SLT'!$C$4:$Q$544,15,0)</f>
        <v>03119964821</v>
      </c>
      <c r="J280">
        <f>VLOOKUP(B280,'MASTER DATA SLT'!$C$4:$R$544,16,0)</f>
        <v>0</v>
      </c>
      <c r="K280">
        <f>VLOOKUP(B280,'MASTER DATA SLT'!$C$4:$S$544,17,0)</f>
        <v>0</v>
      </c>
      <c r="N280" t="str">
        <f>VLOOKUP(B280,'SALARY DETALES'!$B$2:$C$475,2,0)</f>
        <v>Section A #1</v>
      </c>
      <c r="O280" t="str">
        <f>VLOOKUP(B280,'SALARY DETALES'!$B$2:$D$475,3,0)</f>
        <v>BW/A</v>
      </c>
      <c r="Q280" t="str">
        <f>VLOOKUP(B280,'MASTER DATA SLT'!$C$4:$F$544,4,0)</f>
        <v>2024-06-26</v>
      </c>
      <c r="R280">
        <f>VLOOKUP(B280,'MASTER DATA SLT'!$C$4:$G$544,5,0)</f>
        <v>0</v>
      </c>
      <c r="U280">
        <f>VLOOKUP(B280,'SALARY DETALES'!$B$2:$S$475,18,0)</f>
        <v>16000</v>
      </c>
    </row>
    <row r="281" spans="1:21" x14ac:dyDescent="0.3">
      <c r="A281">
        <v>280</v>
      </c>
      <c r="B281">
        <v>80464</v>
      </c>
      <c r="C281" t="s">
        <v>1992</v>
      </c>
      <c r="D281" t="s">
        <v>2141</v>
      </c>
      <c r="E281" t="str">
        <f>VLOOKUP(B281,'MASTER DATA SLT'!$C$4:$H$544,6,0)</f>
        <v>BUS</v>
      </c>
      <c r="F281" t="str">
        <f>VLOOKUP(B281,'MASTER DATA SLT'!$C$4:$F$544,4,0)</f>
        <v>2024-10-20</v>
      </c>
      <c r="G281" t="str">
        <f>VLOOKUP(B281,'MASTER DATA SLT'!$C$4:$P$544,14,0)</f>
        <v>71202-8536521</v>
      </c>
      <c r="I281" t="str">
        <f>VLOOKUP(B281,'MASTER DATA SLT'!$C$4:$Q$544,15,0)</f>
        <v>03554535144</v>
      </c>
      <c r="J281">
        <f>VLOOKUP(B281,'MASTER DATA SLT'!$C$4:$R$544,16,0)</f>
        <v>0</v>
      </c>
      <c r="K281">
        <f>VLOOKUP(B281,'MASTER DATA SLT'!$C$4:$S$544,17,0)</f>
        <v>0</v>
      </c>
      <c r="N281" t="str">
        <f>VLOOKUP(B281,'SALARY DETALES'!$B$2:$C$475,2,0)</f>
        <v>Section A #1</v>
      </c>
      <c r="O281" t="str">
        <f>VLOOKUP(B281,'SALARY DETALES'!$B$2:$D$475,3,0)</f>
        <v>OT/A</v>
      </c>
      <c r="Q281" t="str">
        <f>VLOOKUP(B281,'MASTER DATA SLT'!$C$4:$F$544,4,0)</f>
        <v>2024-10-20</v>
      </c>
      <c r="R281">
        <f>VLOOKUP(B281,'MASTER DATA SLT'!$C$4:$G$544,5,0)</f>
        <v>0</v>
      </c>
      <c r="U281">
        <f>VLOOKUP(B281,'SALARY DETALES'!$B$2:$S$475,18,0)</f>
        <v>22000</v>
      </c>
    </row>
    <row r="282" spans="1:21" x14ac:dyDescent="0.3">
      <c r="A282">
        <v>281</v>
      </c>
      <c r="B282">
        <v>80608</v>
      </c>
      <c r="C282" t="s">
        <v>487</v>
      </c>
      <c r="D282" t="s">
        <v>2137</v>
      </c>
      <c r="E282" t="str">
        <f>VLOOKUP(B282,'MASTER DATA SLT'!$C$4:$H$544,6,0)</f>
        <v>BUS</v>
      </c>
      <c r="F282" t="str">
        <f>VLOOKUP(B282,'MASTER DATA SLT'!$C$4:$F$544,4,0)</f>
        <v>2025-01-27</v>
      </c>
      <c r="G282" t="str">
        <f>VLOOKUP(B282,'MASTER DATA SLT'!$C$4:$P$544,14,0)</f>
        <v>71203-6999289</v>
      </c>
      <c r="I282" t="str">
        <f>VLOOKUP(B282,'MASTER DATA SLT'!$C$4:$Q$544,15,0)</f>
        <v>03558294018</v>
      </c>
      <c r="J282">
        <f>VLOOKUP(B282,'MASTER DATA SLT'!$C$4:$R$544,16,0)</f>
        <v>0</v>
      </c>
      <c r="K282">
        <f>VLOOKUP(B282,'MASTER DATA SLT'!$C$4:$S$544,17,0)</f>
        <v>0</v>
      </c>
      <c r="N282" t="str">
        <f>VLOOKUP(B282,'SALARY DETALES'!$B$2:$C$475,2,0)</f>
        <v>Section A #1</v>
      </c>
      <c r="O282" t="str">
        <f>VLOOKUP(B282,'SALARY DETALES'!$B$2:$D$475,3,0)</f>
        <v>BW/A</v>
      </c>
      <c r="Q282" t="str">
        <f>VLOOKUP(B282,'MASTER DATA SLT'!$C$4:$F$544,4,0)</f>
        <v>2025-01-27</v>
      </c>
      <c r="R282">
        <f>VLOOKUP(B282,'MASTER DATA SLT'!$C$4:$G$544,5,0)</f>
        <v>0</v>
      </c>
      <c r="U282">
        <f>VLOOKUP(B282,'SALARY DETALES'!$B$2:$S$475,18,0)</f>
        <v>16000</v>
      </c>
    </row>
    <row r="283" spans="1:21" x14ac:dyDescent="0.3">
      <c r="A283">
        <v>282</v>
      </c>
      <c r="B283">
        <v>32060</v>
      </c>
      <c r="C283" t="s">
        <v>575</v>
      </c>
      <c r="D283" t="s">
        <v>1906</v>
      </c>
      <c r="E283" t="str">
        <f>VLOOKUP(B283,'MASTER DATA SLT'!$C$4:$H$544,6,0)</f>
        <v>BUS</v>
      </c>
      <c r="F283" t="str">
        <f>VLOOKUP(B283,'MASTER DATA SLT'!$C$4:$F$544,4,0)</f>
        <v>2025-01-27</v>
      </c>
      <c r="G283">
        <f>VLOOKUP(B283,'MASTER DATA SLT'!$C$4:$P$544,14,0)</f>
        <v>0</v>
      </c>
      <c r="I283" t="str">
        <f>VLOOKUP(B283,'MASTER DATA SLT'!$C$4:$Q$544,15,0)</f>
        <v>0335-6255345</v>
      </c>
      <c r="J283">
        <f>VLOOKUP(B283,'MASTER DATA SLT'!$C$4:$R$544,16,0)</f>
        <v>0</v>
      </c>
      <c r="K283">
        <f>VLOOKUP(B283,'MASTER DATA SLT'!$C$4:$S$544,17,0)</f>
        <v>0</v>
      </c>
      <c r="N283" t="str">
        <f>VLOOKUP(B283,'SALARY DETALES'!$B$2:$C$475,2,0)</f>
        <v>Section A #1</v>
      </c>
      <c r="O283" t="str">
        <f>VLOOKUP(B283,'SALARY DETALES'!$B$2:$D$475,3,0)</f>
        <v>OT</v>
      </c>
      <c r="Q283" t="str">
        <f>VLOOKUP(B283,'MASTER DATA SLT'!$C$4:$F$544,4,0)</f>
        <v>2025-01-27</v>
      </c>
      <c r="R283">
        <f>VLOOKUP(B283,'MASTER DATA SLT'!$C$4:$G$544,5,0)</f>
        <v>0</v>
      </c>
      <c r="U283">
        <f>VLOOKUP(B283,'SALARY DETALES'!$B$2:$S$475,18,0)</f>
        <v>25000</v>
      </c>
    </row>
    <row r="284" spans="1:21" x14ac:dyDescent="0.3">
      <c r="A284">
        <v>283</v>
      </c>
      <c r="B284">
        <v>33098</v>
      </c>
      <c r="C284" t="s">
        <v>489</v>
      </c>
      <c r="D284" t="s">
        <v>2137</v>
      </c>
      <c r="E284" t="str">
        <f>VLOOKUP(B284,'MASTER DATA SLT'!$C$4:$H$544,6,0)</f>
        <v>BUS</v>
      </c>
      <c r="F284" t="str">
        <f>VLOOKUP(B284,'MASTER DATA SLT'!$C$4:$F$544,4,0)</f>
        <v>2024-01-27</v>
      </c>
      <c r="G284">
        <f>VLOOKUP(B284,'MASTER DATA SLT'!$C$4:$P$544,14,0)</f>
        <v>0</v>
      </c>
      <c r="I284">
        <f>VLOOKUP(B284,'MASTER DATA SLT'!$C$4:$Q$544,15,0)</f>
        <v>0</v>
      </c>
      <c r="J284">
        <f>VLOOKUP(B284,'MASTER DATA SLT'!$C$4:$R$544,16,0)</f>
        <v>0</v>
      </c>
      <c r="K284">
        <f>VLOOKUP(B284,'MASTER DATA SLT'!$C$4:$S$544,17,0)</f>
        <v>0</v>
      </c>
      <c r="N284" t="str">
        <f>VLOOKUP(B284,'SALARY DETALES'!$B$2:$C$475,2,0)</f>
        <v>Section A #1</v>
      </c>
      <c r="O284" t="str">
        <f>VLOOKUP(B284,'SALARY DETALES'!$B$2:$D$475,3,0)</f>
        <v>OT</v>
      </c>
      <c r="Q284" t="str">
        <f>VLOOKUP(B284,'MASTER DATA SLT'!$C$4:$F$544,4,0)</f>
        <v>2024-01-27</v>
      </c>
      <c r="R284">
        <f>VLOOKUP(B284,'MASTER DATA SLT'!$C$4:$G$544,5,0)</f>
        <v>0</v>
      </c>
      <c r="U284">
        <f>VLOOKUP(B284,'SALARY DETALES'!$B$2:$S$475,18,0)</f>
        <v>25000</v>
      </c>
    </row>
    <row r="285" spans="1:21" x14ac:dyDescent="0.3">
      <c r="A285">
        <v>284</v>
      </c>
      <c r="B285">
        <v>30012</v>
      </c>
      <c r="C285" t="s">
        <v>1875</v>
      </c>
      <c r="D285" t="s">
        <v>2039</v>
      </c>
      <c r="E285" t="str">
        <f>VLOOKUP(B285,'MASTER DATA SLT'!$C$4:$H$544,6,0)</f>
        <v>BUS</v>
      </c>
      <c r="F285" t="str">
        <f>VLOOKUP(B285,'MASTER DATA SLT'!$C$4:$F$544,4,0)</f>
        <v>2023-09-18</v>
      </c>
      <c r="G285">
        <f>VLOOKUP(B285,'MASTER DATA SLT'!$C$4:$P$544,14,0)</f>
        <v>0</v>
      </c>
      <c r="I285">
        <f>VLOOKUP(B285,'MASTER DATA SLT'!$C$4:$Q$544,15,0)</f>
        <v>0</v>
      </c>
      <c r="J285">
        <f>VLOOKUP(B285,'MASTER DATA SLT'!$C$4:$R$544,16,0)</f>
        <v>0</v>
      </c>
      <c r="K285">
        <f>VLOOKUP(B285,'MASTER DATA SLT'!$C$4:$S$544,17,0)</f>
        <v>0</v>
      </c>
      <c r="N285" t="str">
        <f>VLOOKUP(B285,'SALARY DETALES'!$B$2:$C$475,2,0)</f>
        <v>Section A #1</v>
      </c>
      <c r="O285" t="str">
        <f>VLOOKUP(B285,'SALARY DETALES'!$B$2:$D$475,3,0)</f>
        <v>OT</v>
      </c>
      <c r="Q285" t="str">
        <f>VLOOKUP(B285,'MASTER DATA SLT'!$C$4:$F$544,4,0)</f>
        <v>2023-09-18</v>
      </c>
      <c r="R285">
        <f>VLOOKUP(B285,'MASTER DATA SLT'!$C$4:$G$544,5,0)</f>
        <v>0</v>
      </c>
      <c r="U285">
        <f>VLOOKUP(B285,'SALARY DETALES'!$B$2:$S$475,18,0)</f>
        <v>30000</v>
      </c>
    </row>
    <row r="286" spans="1:21" x14ac:dyDescent="0.3">
      <c r="A286">
        <v>285</v>
      </c>
      <c r="B286">
        <v>29139</v>
      </c>
      <c r="C286" t="s">
        <v>491</v>
      </c>
      <c r="D286" t="s">
        <v>2137</v>
      </c>
      <c r="E286" t="str">
        <f>VLOOKUP(B286,'MASTER DATA SLT'!$C$4:$H$544,6,0)</f>
        <v>BUS</v>
      </c>
      <c r="F286" t="str">
        <f>VLOOKUP(B286,'MASTER DATA SLT'!$C$4:$F$544,4,0)</f>
        <v>2022-08-14</v>
      </c>
      <c r="G286">
        <f>VLOOKUP(B286,'MASTER DATA SLT'!$C$4:$P$544,14,0)</f>
        <v>0</v>
      </c>
      <c r="I286">
        <f>VLOOKUP(B286,'MASTER DATA SLT'!$C$4:$Q$544,15,0)</f>
        <v>0</v>
      </c>
      <c r="J286">
        <f>VLOOKUP(B286,'MASTER DATA SLT'!$C$4:$R$544,16,0)</f>
        <v>0</v>
      </c>
      <c r="K286">
        <f>VLOOKUP(B286,'MASTER DATA SLT'!$C$4:$S$544,17,0)</f>
        <v>0</v>
      </c>
      <c r="N286" t="str">
        <f>VLOOKUP(B286,'SALARY DETALES'!$B$2:$C$475,2,0)</f>
        <v>Section A #1</v>
      </c>
      <c r="O286" t="str">
        <f>VLOOKUP(B286,'SALARY DETALES'!$B$2:$D$475,3,0)</f>
        <v>BW</v>
      </c>
      <c r="Q286" t="str">
        <f>VLOOKUP(B286,'MASTER DATA SLT'!$C$4:$F$544,4,0)</f>
        <v>2022-08-14</v>
      </c>
      <c r="R286">
        <f>VLOOKUP(B286,'MASTER DATA SLT'!$C$4:$G$544,5,0)</f>
        <v>0</v>
      </c>
      <c r="U286">
        <f>VLOOKUP(B286,'SALARY DETALES'!$B$2:$S$475,18,0)</f>
        <v>24000</v>
      </c>
    </row>
    <row r="287" spans="1:21" x14ac:dyDescent="0.3">
      <c r="A287">
        <v>286</v>
      </c>
      <c r="B287">
        <v>32089</v>
      </c>
      <c r="C287" t="s">
        <v>1845</v>
      </c>
      <c r="D287" t="s">
        <v>2040</v>
      </c>
      <c r="E287" t="str">
        <f>VLOOKUP(B287,'MASTER DATA SLT'!$C$4:$H$544,6,0)</f>
        <v>BUS</v>
      </c>
      <c r="F287" t="str">
        <f>VLOOKUP(B287,'MASTER DATA SLT'!$C$4:$F$544,4,0)</f>
        <v>2022-08-27</v>
      </c>
      <c r="G287">
        <f>VLOOKUP(B287,'MASTER DATA SLT'!$C$4:$P$544,14,0)</f>
        <v>0</v>
      </c>
      <c r="I287">
        <f>VLOOKUP(B287,'MASTER DATA SLT'!$C$4:$Q$544,15,0)</f>
        <v>0</v>
      </c>
      <c r="J287">
        <f>VLOOKUP(B287,'MASTER DATA SLT'!$C$4:$R$544,16,0)</f>
        <v>0</v>
      </c>
      <c r="K287">
        <f>VLOOKUP(B287,'MASTER DATA SLT'!$C$4:$S$544,17,0)</f>
        <v>0</v>
      </c>
      <c r="N287" t="str">
        <f>VLOOKUP(B287,'SALARY DETALES'!$B$2:$C$475,2,0)</f>
        <v>Section A #1</v>
      </c>
      <c r="O287" t="str">
        <f>VLOOKUP(B287,'SALARY DETALES'!$B$2:$D$475,3,0)</f>
        <v>OT</v>
      </c>
      <c r="Q287" t="str">
        <f>VLOOKUP(B287,'MASTER DATA SLT'!$C$4:$F$544,4,0)</f>
        <v>2022-08-27</v>
      </c>
      <c r="R287">
        <f>VLOOKUP(B287,'MASTER DATA SLT'!$C$4:$G$544,5,0)</f>
        <v>0</v>
      </c>
      <c r="U287">
        <f>VLOOKUP(B287,'SALARY DETALES'!$B$2:$S$475,18,0)</f>
        <v>25000</v>
      </c>
    </row>
    <row r="288" spans="1:21" x14ac:dyDescent="0.3">
      <c r="A288">
        <v>287</v>
      </c>
      <c r="B288">
        <v>27205</v>
      </c>
      <c r="C288" t="s">
        <v>249</v>
      </c>
      <c r="D288" t="s">
        <v>2137</v>
      </c>
      <c r="E288" t="str">
        <f>VLOOKUP(B288,'MASTER DATA SLT'!$C$4:$H$544,6,0)</f>
        <v>BUS</v>
      </c>
      <c r="F288" t="str">
        <f>VLOOKUP(B288,'MASTER DATA SLT'!$C$4:$F$544,4,0)</f>
        <v>2025-01-01</v>
      </c>
      <c r="G288">
        <f>VLOOKUP(B288,'MASTER DATA SLT'!$C$4:$P$544,14,0)</f>
        <v>0</v>
      </c>
      <c r="I288">
        <f>VLOOKUP(B288,'MASTER DATA SLT'!$C$4:$Q$544,15,0)</f>
        <v>0</v>
      </c>
      <c r="J288">
        <f>VLOOKUP(B288,'MASTER DATA SLT'!$C$4:$R$544,16,0)</f>
        <v>0</v>
      </c>
      <c r="K288">
        <f>VLOOKUP(B288,'MASTER DATA SLT'!$C$4:$S$544,17,0)</f>
        <v>0</v>
      </c>
      <c r="N288" t="str">
        <f>VLOOKUP(B288,'SALARY DETALES'!$B$2:$C$475,2,0)</f>
        <v>Section A #1</v>
      </c>
      <c r="O288" t="str">
        <f>VLOOKUP(B288,'SALARY DETALES'!$B$2:$D$475,3,0)</f>
        <v>B/S</v>
      </c>
      <c r="Q288" t="str">
        <f>VLOOKUP(B288,'MASTER DATA SLT'!$C$4:$F$544,4,0)</f>
        <v>2025-01-01</v>
      </c>
      <c r="R288">
        <f>VLOOKUP(B288,'MASTER DATA SLT'!$C$4:$G$544,5,0)</f>
        <v>0</v>
      </c>
      <c r="U288">
        <f>VLOOKUP(B288,'SALARY DETALES'!$B$2:$S$475,18,0)</f>
        <v>16000</v>
      </c>
    </row>
    <row r="289" spans="1:21" x14ac:dyDescent="0.3">
      <c r="A289">
        <v>288</v>
      </c>
      <c r="B289">
        <v>32160</v>
      </c>
      <c r="C289" t="s">
        <v>2041</v>
      </c>
      <c r="D289" t="s">
        <v>2164</v>
      </c>
      <c r="E289" t="str">
        <f>VLOOKUP(B289,'MASTER DATA SLT'!$C$4:$H$544,6,0)</f>
        <v>BUS</v>
      </c>
      <c r="F289" t="str">
        <f>VLOOKUP(B289,'MASTER DATA SLT'!$C$4:$F$544,4,0)</f>
        <v>2024-05-16</v>
      </c>
      <c r="G289">
        <f>VLOOKUP(B289,'MASTER DATA SLT'!$C$4:$P$544,14,0)</f>
        <v>0</v>
      </c>
      <c r="I289" t="str">
        <f>VLOOKUP(B289,'MASTER DATA SLT'!$C$4:$Q$544,15,0)</f>
        <v>03175806271</v>
      </c>
      <c r="J289">
        <f>VLOOKUP(B289,'MASTER DATA SLT'!$C$4:$R$544,16,0)</f>
        <v>0</v>
      </c>
      <c r="K289">
        <f>VLOOKUP(B289,'MASTER DATA SLT'!$C$4:$S$544,17,0)</f>
        <v>0</v>
      </c>
      <c r="N289" t="str">
        <f>VLOOKUP(B289,'SALARY DETALES'!$B$2:$C$475,2,0)</f>
        <v>Section A #1</v>
      </c>
      <c r="O289" t="str">
        <f>VLOOKUP(B289,'SALARY DETALES'!$B$2:$D$475,3,0)</f>
        <v>BW</v>
      </c>
      <c r="Q289" t="str">
        <f>VLOOKUP(B289,'MASTER DATA SLT'!$C$4:$F$544,4,0)</f>
        <v>2024-05-16</v>
      </c>
      <c r="R289">
        <f>VLOOKUP(B289,'MASTER DATA SLT'!$C$4:$G$544,5,0)</f>
        <v>0</v>
      </c>
      <c r="U289">
        <f>VLOOKUP(B289,'SALARY DETALES'!$B$2:$S$475,18,0)</f>
        <v>25000</v>
      </c>
    </row>
    <row r="290" spans="1:21" x14ac:dyDescent="0.3">
      <c r="A290">
        <v>289</v>
      </c>
      <c r="B290">
        <v>80335</v>
      </c>
      <c r="C290" t="s">
        <v>1933</v>
      </c>
      <c r="D290" t="s">
        <v>2165</v>
      </c>
      <c r="E290" t="str">
        <f>VLOOKUP(B290,'MASTER DATA SLT'!$C$4:$H$544,6,0)</f>
        <v>BUS</v>
      </c>
      <c r="F290" t="str">
        <f>VLOOKUP(B290,'MASTER DATA SLT'!$C$4:$F$544,4,0)</f>
        <v>2024-08-06</v>
      </c>
      <c r="G290" t="str">
        <f>VLOOKUP(B290,'MASTER DATA SLT'!$C$4:$P$544,14,0)</f>
        <v>71203-2758375</v>
      </c>
      <c r="I290" t="str">
        <f>VLOOKUP(B290,'MASTER DATA SLT'!$C$4:$Q$544,15,0)</f>
        <v>0349-0480088</v>
      </c>
      <c r="J290">
        <f>VLOOKUP(B290,'MASTER DATA SLT'!$C$4:$R$544,16,0)</f>
        <v>0</v>
      </c>
      <c r="K290">
        <f>VLOOKUP(B290,'MASTER DATA SLT'!$C$4:$S$544,17,0)</f>
        <v>0</v>
      </c>
      <c r="N290" t="str">
        <f>VLOOKUP(B290,'SALARY DETALES'!$B$2:$C$475,2,0)</f>
        <v>Section A #1</v>
      </c>
      <c r="O290" t="str">
        <f>VLOOKUP(B290,'SALARY DETALES'!$B$2:$D$475,3,0)</f>
        <v>BW/A</v>
      </c>
      <c r="Q290" t="str">
        <f>VLOOKUP(B290,'MASTER DATA SLT'!$C$4:$F$544,4,0)</f>
        <v>2024-08-06</v>
      </c>
      <c r="R290">
        <f>VLOOKUP(B290,'MASTER DATA SLT'!$C$4:$G$544,5,0)</f>
        <v>0</v>
      </c>
      <c r="U290">
        <f>VLOOKUP(B290,'SALARY DETALES'!$B$2:$S$475,18,0)</f>
        <v>16000</v>
      </c>
    </row>
    <row r="291" spans="1:21" x14ac:dyDescent="0.3">
      <c r="A291">
        <v>290</v>
      </c>
      <c r="B291">
        <v>80378</v>
      </c>
      <c r="C291" t="s">
        <v>2042</v>
      </c>
      <c r="D291" t="s">
        <v>1883</v>
      </c>
      <c r="E291" t="str">
        <f>VLOOKUP(B291,'MASTER DATA SLT'!$C$4:$H$544,6,0)</f>
        <v>BUS</v>
      </c>
      <c r="F291" t="str">
        <f>VLOOKUP(B291,'MASTER DATA SLT'!$C$4:$F$544,4,0)</f>
        <v>2024-09-06</v>
      </c>
      <c r="G291" t="str">
        <f>VLOOKUP(B291,'MASTER DATA SLT'!$C$4:$P$544,14,0)</f>
        <v>71202-6800057</v>
      </c>
      <c r="I291" t="str">
        <f>VLOOKUP(B291,'MASTER DATA SLT'!$C$4:$Q$544,15,0)</f>
        <v>03160737627</v>
      </c>
      <c r="J291">
        <f>VLOOKUP(B291,'MASTER DATA SLT'!$C$4:$R$544,16,0)</f>
        <v>0</v>
      </c>
      <c r="K291">
        <f>VLOOKUP(B291,'MASTER DATA SLT'!$C$4:$S$544,17,0)</f>
        <v>0</v>
      </c>
      <c r="N291" t="str">
        <f>VLOOKUP(B291,'SALARY DETALES'!$B$2:$C$475,2,0)</f>
        <v>Section A #1</v>
      </c>
      <c r="O291" t="str">
        <f>VLOOKUP(B291,'SALARY DETALES'!$B$2:$D$475,3,0)</f>
        <v>OT</v>
      </c>
      <c r="Q291" t="str">
        <f>VLOOKUP(B291,'MASTER DATA SLT'!$C$4:$F$544,4,0)</f>
        <v>2024-09-06</v>
      </c>
      <c r="R291">
        <f>VLOOKUP(B291,'MASTER DATA SLT'!$C$4:$G$544,5,0)</f>
        <v>0</v>
      </c>
      <c r="U291">
        <f>VLOOKUP(B291,'SALARY DETALES'!$B$2:$S$475,18,0)</f>
        <v>25000</v>
      </c>
    </row>
    <row r="292" spans="1:21" x14ac:dyDescent="0.3">
      <c r="A292">
        <v>291</v>
      </c>
      <c r="B292">
        <v>80391</v>
      </c>
      <c r="C292" t="s">
        <v>496</v>
      </c>
      <c r="D292" t="s">
        <v>2137</v>
      </c>
      <c r="E292" t="str">
        <f>VLOOKUP(B292,'MASTER DATA SLT'!$C$4:$H$544,6,0)</f>
        <v>BUS</v>
      </c>
      <c r="F292" t="str">
        <f>VLOOKUP(B292,'MASTER DATA SLT'!$C$4:$F$544,4,0)</f>
        <v>2024-09-20</v>
      </c>
      <c r="G292" t="str">
        <f>VLOOKUP(B292,'MASTER DATA SLT'!$C$4:$P$544,14,0)</f>
        <v>71202-6510638</v>
      </c>
      <c r="I292" t="str">
        <f>VLOOKUP(B292,'MASTER DATA SLT'!$C$4:$Q$544,15,0)</f>
        <v>03201349436</v>
      </c>
      <c r="J292">
        <f>VLOOKUP(B292,'MASTER DATA SLT'!$C$4:$R$544,16,0)</f>
        <v>0</v>
      </c>
      <c r="K292">
        <f>VLOOKUP(B292,'MASTER DATA SLT'!$C$4:$S$544,17,0)</f>
        <v>0</v>
      </c>
      <c r="N292" t="str">
        <f>VLOOKUP(B292,'SALARY DETALES'!$B$2:$C$475,2,0)</f>
        <v>Section A #1</v>
      </c>
      <c r="O292" t="str">
        <f>VLOOKUP(B292,'SALARY DETALES'!$B$2:$D$475,3,0)</f>
        <v>OT</v>
      </c>
      <c r="Q292" t="str">
        <f>VLOOKUP(B292,'MASTER DATA SLT'!$C$4:$F$544,4,0)</f>
        <v>2024-09-20</v>
      </c>
      <c r="R292">
        <f>VLOOKUP(B292,'MASTER DATA SLT'!$C$4:$G$544,5,0)</f>
        <v>0</v>
      </c>
      <c r="U292">
        <f>VLOOKUP(B292,'SALARY DETALES'!$B$2:$S$475,18,0)</f>
        <v>25000</v>
      </c>
    </row>
    <row r="293" spans="1:21" x14ac:dyDescent="0.3">
      <c r="A293">
        <v>292</v>
      </c>
      <c r="B293">
        <v>80411</v>
      </c>
      <c r="C293" t="s">
        <v>2043</v>
      </c>
      <c r="D293" t="s">
        <v>1915</v>
      </c>
      <c r="E293" t="str">
        <f>VLOOKUP(B293,'MASTER DATA SLT'!$C$4:$H$544,6,0)</f>
        <v>BUS</v>
      </c>
      <c r="F293" t="str">
        <f>VLOOKUP(B293,'MASTER DATA SLT'!$C$4:$F$544,4,0)</f>
        <v>2024-10-28</v>
      </c>
      <c r="G293" t="str">
        <f>VLOOKUP(B293,'MASTER DATA SLT'!$C$4:$P$544,14,0)</f>
        <v>71203-6722838</v>
      </c>
      <c r="I293" t="str">
        <f>VLOOKUP(B293,'MASTER DATA SLT'!$C$4:$Q$544,15,0)</f>
        <v>0318-3889153</v>
      </c>
      <c r="J293">
        <f>VLOOKUP(B293,'MASTER DATA SLT'!$C$4:$R$544,16,0)</f>
        <v>0</v>
      </c>
      <c r="K293">
        <f>VLOOKUP(B293,'MASTER DATA SLT'!$C$4:$S$544,17,0)</f>
        <v>0</v>
      </c>
      <c r="N293" t="str">
        <f>VLOOKUP(B293,'SALARY DETALES'!$B$2:$C$475,2,0)</f>
        <v>Section A #1</v>
      </c>
      <c r="O293" t="str">
        <f>VLOOKUP(B293,'SALARY DETALES'!$B$2:$D$475,3,0)</f>
        <v>B/W</v>
      </c>
      <c r="Q293" t="str">
        <f>VLOOKUP(B293,'MASTER DATA SLT'!$C$4:$F$544,4,0)</f>
        <v>2024-10-28</v>
      </c>
      <c r="R293">
        <f>VLOOKUP(B293,'MASTER DATA SLT'!$C$4:$G$544,5,0)</f>
        <v>0</v>
      </c>
      <c r="U293">
        <f>VLOOKUP(B293,'SALARY DETALES'!$B$2:$S$475,18,0)</f>
        <v>16000</v>
      </c>
    </row>
    <row r="294" spans="1:21" x14ac:dyDescent="0.3">
      <c r="A294">
        <v>293</v>
      </c>
      <c r="B294">
        <v>80435</v>
      </c>
      <c r="C294" t="s">
        <v>498</v>
      </c>
      <c r="D294" t="s">
        <v>2137</v>
      </c>
      <c r="E294" t="str">
        <f>VLOOKUP(B294,'MASTER DATA SLT'!$C$4:$H$544,6,0)</f>
        <v>BUS</v>
      </c>
      <c r="F294" t="str">
        <f>VLOOKUP(B294,'MASTER DATA SLT'!$C$4:$F$544,4,0)</f>
        <v>2024-10-16</v>
      </c>
      <c r="G294" t="str">
        <f>VLOOKUP(B294,'MASTER DATA SLT'!$C$4:$P$544,14,0)</f>
        <v>71202-9741694</v>
      </c>
      <c r="I294" t="str">
        <f>VLOOKUP(B294,'MASTER DATA SLT'!$C$4:$Q$544,15,0)</f>
        <v>0311-5395233</v>
      </c>
      <c r="J294">
        <f>VLOOKUP(B294,'MASTER DATA SLT'!$C$4:$R$544,16,0)</f>
        <v>0</v>
      </c>
      <c r="K294">
        <f>VLOOKUP(B294,'MASTER DATA SLT'!$C$4:$S$544,17,0)</f>
        <v>0</v>
      </c>
      <c r="N294" t="str">
        <f>VLOOKUP(B294,'SALARY DETALES'!$B$2:$C$475,2,0)</f>
        <v>Section A #1</v>
      </c>
      <c r="O294" t="str">
        <f>VLOOKUP(B294,'SALARY DETALES'!$B$2:$D$475,3,0)</f>
        <v>B/W</v>
      </c>
      <c r="Q294" t="str">
        <f>VLOOKUP(B294,'MASTER DATA SLT'!$C$4:$F$544,4,0)</f>
        <v>2024-10-16</v>
      </c>
      <c r="R294">
        <f>VLOOKUP(B294,'MASTER DATA SLT'!$C$4:$G$544,5,0)</f>
        <v>0</v>
      </c>
      <c r="U294">
        <f>VLOOKUP(B294,'SALARY DETALES'!$B$2:$S$475,18,0)</f>
        <v>20000</v>
      </c>
    </row>
    <row r="295" spans="1:21" x14ac:dyDescent="0.3">
      <c r="A295">
        <v>294</v>
      </c>
      <c r="B295">
        <v>80592</v>
      </c>
      <c r="C295" t="s">
        <v>1857</v>
      </c>
      <c r="D295" t="s">
        <v>2044</v>
      </c>
      <c r="E295" t="str">
        <f>VLOOKUP(B295,'MASTER DATA SLT'!$C$4:$H$544,6,0)</f>
        <v>BUS</v>
      </c>
      <c r="F295" t="str">
        <f>VLOOKUP(B295,'MASTER DATA SLT'!$C$4:$F$544,4,0)</f>
        <v>2025-01-16</v>
      </c>
      <c r="G295" t="str">
        <f>VLOOKUP(B295,'MASTER DATA SLT'!$C$4:$P$544,14,0)</f>
        <v>71601-0614737</v>
      </c>
      <c r="I295" t="str">
        <f>VLOOKUP(B295,'MASTER DATA SLT'!$C$4:$Q$544,15,0)</f>
        <v>03295204620</v>
      </c>
      <c r="J295">
        <f>VLOOKUP(B295,'MASTER DATA SLT'!$C$4:$R$544,16,0)</f>
        <v>0</v>
      </c>
      <c r="K295">
        <f>VLOOKUP(B295,'MASTER DATA SLT'!$C$4:$S$544,17,0)</f>
        <v>0</v>
      </c>
      <c r="N295" t="str">
        <f>VLOOKUP(B295,'SALARY DETALES'!$B$2:$C$475,2,0)</f>
        <v>Section A #1</v>
      </c>
      <c r="O295" t="str">
        <f>VLOOKUP(B295,'SALARY DETALES'!$B$2:$D$475,3,0)</f>
        <v>B/W</v>
      </c>
      <c r="Q295" t="str">
        <f>VLOOKUP(B295,'MASTER DATA SLT'!$C$4:$F$544,4,0)</f>
        <v>2025-01-16</v>
      </c>
      <c r="R295">
        <f>VLOOKUP(B295,'MASTER DATA SLT'!$C$4:$G$544,5,0)</f>
        <v>0</v>
      </c>
      <c r="U295">
        <f>VLOOKUP(B295,'SALARY DETALES'!$B$2:$S$475,18,0)</f>
        <v>16000</v>
      </c>
    </row>
    <row r="296" spans="1:21" x14ac:dyDescent="0.3">
      <c r="A296">
        <v>295</v>
      </c>
      <c r="B296">
        <v>80701</v>
      </c>
      <c r="C296" t="s">
        <v>2045</v>
      </c>
      <c r="D296" t="s">
        <v>2046</v>
      </c>
      <c r="E296" t="str">
        <f>VLOOKUP(B296,'MASTER DATA SLT'!$C$4:$H$544,6,0)</f>
        <v>BUS</v>
      </c>
      <c r="F296" t="str">
        <f>VLOOKUP(B296,'MASTER DATA SLT'!$C$4:$F$544,4,0)</f>
        <v>2025-03-14</v>
      </c>
      <c r="G296">
        <f>VLOOKUP(B296,'MASTER DATA SLT'!$C$4:$P$544,14,0)</f>
        <v>0</v>
      </c>
      <c r="I296">
        <f>VLOOKUP(B296,'MASTER DATA SLT'!$C$4:$Q$544,15,0)</f>
        <v>0</v>
      </c>
      <c r="J296">
        <f>VLOOKUP(B296,'MASTER DATA SLT'!$C$4:$R$544,16,0)</f>
        <v>0</v>
      </c>
      <c r="K296">
        <f>VLOOKUP(B296,'MASTER DATA SLT'!$C$4:$S$544,17,0)</f>
        <v>0</v>
      </c>
      <c r="N296" t="str">
        <f>VLOOKUP(B296,'SALARY DETALES'!$B$2:$C$475,2,0)</f>
        <v>Section A #1</v>
      </c>
      <c r="O296" t="str">
        <f>VLOOKUP(B296,'SALARY DETALES'!$B$2:$D$475,3,0)</f>
        <v>O/T</v>
      </c>
      <c r="Q296" t="str">
        <f>VLOOKUP(B296,'MASTER DATA SLT'!$C$4:$F$544,4,0)</f>
        <v>2025-03-14</v>
      </c>
      <c r="R296">
        <f>VLOOKUP(B296,'MASTER DATA SLT'!$C$4:$G$544,5,0)</f>
        <v>0</v>
      </c>
      <c r="U296">
        <f>VLOOKUP(B296,'SALARY DETALES'!$B$2:$S$475,18,0)</f>
        <v>24000</v>
      </c>
    </row>
    <row r="297" spans="1:21" x14ac:dyDescent="0.3">
      <c r="A297">
        <v>296</v>
      </c>
      <c r="B297">
        <v>80720</v>
      </c>
      <c r="C297" t="s">
        <v>2047</v>
      </c>
      <c r="D297" t="s">
        <v>1846</v>
      </c>
      <c r="E297" t="str">
        <f>VLOOKUP(B297,'MASTER DATA SLT'!$C$4:$H$544,6,0)</f>
        <v>BUS</v>
      </c>
      <c r="F297" t="str">
        <f>VLOOKUP(B297,'MASTER DATA SLT'!$C$4:$F$544,4,0)</f>
        <v>2025-03-21</v>
      </c>
      <c r="G297" t="str">
        <f>VLOOKUP(B297,'MASTER DATA SLT'!$C$4:$P$544,14,0)</f>
        <v>71202-9397149</v>
      </c>
      <c r="I297" t="str">
        <f>VLOOKUP(B297,'MASTER DATA SLT'!$C$4:$Q$544,15,0)</f>
        <v>03193964427</v>
      </c>
      <c r="J297">
        <f>VLOOKUP(B297,'MASTER DATA SLT'!$C$4:$R$544,16,0)</f>
        <v>0</v>
      </c>
      <c r="K297">
        <f>VLOOKUP(B297,'MASTER DATA SLT'!$C$4:$S$544,17,0)</f>
        <v>0</v>
      </c>
      <c r="N297" t="str">
        <f>VLOOKUP(B297,'SALARY DETALES'!$B$2:$C$475,2,0)</f>
        <v>Section A #1</v>
      </c>
      <c r="O297" t="str">
        <f>VLOOKUP(B297,'SALARY DETALES'!$B$2:$D$475,3,0)</f>
        <v>OT/A</v>
      </c>
      <c r="Q297" t="str">
        <f>VLOOKUP(B297,'MASTER DATA SLT'!$C$4:$F$544,4,0)</f>
        <v>2025-03-21</v>
      </c>
      <c r="R297">
        <f>VLOOKUP(B297,'MASTER DATA SLT'!$C$4:$G$544,5,0)</f>
        <v>0</v>
      </c>
      <c r="U297">
        <f>VLOOKUP(B297,'SALARY DETALES'!$B$2:$S$475,18,0)</f>
        <v>23000</v>
      </c>
    </row>
    <row r="298" spans="1:21" x14ac:dyDescent="0.3">
      <c r="A298">
        <v>297</v>
      </c>
      <c r="B298">
        <v>80722</v>
      </c>
      <c r="C298" t="s">
        <v>1857</v>
      </c>
      <c r="D298" t="s">
        <v>1852</v>
      </c>
      <c r="E298" t="str">
        <f>VLOOKUP(B298,'MASTER DATA SLT'!$C$4:$H$544,6,0)</f>
        <v>BUS</v>
      </c>
      <c r="F298" t="str">
        <f>VLOOKUP(B298,'MASTER DATA SLT'!$C$4:$F$544,4,0)</f>
        <v>2025-03-11</v>
      </c>
      <c r="G298" t="str">
        <f>VLOOKUP(B298,'MASTER DATA SLT'!$C$4:$P$544,14,0)</f>
        <v>712017-191561</v>
      </c>
      <c r="I298" t="str">
        <f>VLOOKUP(B298,'MASTER DATA SLT'!$C$4:$Q$544,15,0)</f>
        <v>03556063056</v>
      </c>
      <c r="J298">
        <f>VLOOKUP(B298,'MASTER DATA SLT'!$C$4:$R$544,16,0)</f>
        <v>0</v>
      </c>
      <c r="K298">
        <f>VLOOKUP(B298,'MASTER DATA SLT'!$C$4:$S$544,17,0)</f>
        <v>0</v>
      </c>
      <c r="N298" t="str">
        <f>VLOOKUP(B298,'SALARY DETALES'!$B$2:$C$475,2,0)</f>
        <v>Section A #1</v>
      </c>
      <c r="O298" t="str">
        <f>VLOOKUP(B298,'SALARY DETALES'!$B$2:$D$475,3,0)</f>
        <v>BW/A</v>
      </c>
      <c r="Q298" t="str">
        <f>VLOOKUP(B298,'MASTER DATA SLT'!$C$4:$F$544,4,0)</f>
        <v>2025-03-11</v>
      </c>
      <c r="R298">
        <f>VLOOKUP(B298,'MASTER DATA SLT'!$C$4:$G$544,5,0)</f>
        <v>0</v>
      </c>
      <c r="U298">
        <f>VLOOKUP(B298,'SALARY DETALES'!$B$2:$S$475,18,0)</f>
        <v>16000</v>
      </c>
    </row>
    <row r="299" spans="1:21" x14ac:dyDescent="0.3">
      <c r="A299">
        <v>298</v>
      </c>
      <c r="B299">
        <v>80723</v>
      </c>
      <c r="C299" t="s">
        <v>2048</v>
      </c>
      <c r="D299" t="s">
        <v>1869</v>
      </c>
      <c r="E299" t="str">
        <f>VLOOKUP(B299,'MASTER DATA SLT'!$C$4:$H$544,6,0)</f>
        <v>BUS</v>
      </c>
      <c r="F299" t="str">
        <f>VLOOKUP(B299,'MASTER DATA SLT'!$C$4:$F$544,4,0)</f>
        <v>2025-03-20</v>
      </c>
      <c r="G299" t="str">
        <f>VLOOKUP(B299,'MASTER DATA SLT'!$C$4:$P$544,14,0)</f>
        <v>71201-8141119</v>
      </c>
      <c r="I299" t="str">
        <f>VLOOKUP(B299,'MASTER DATA SLT'!$C$4:$Q$544,15,0)</f>
        <v>03555168951</v>
      </c>
      <c r="J299">
        <f>VLOOKUP(B299,'MASTER DATA SLT'!$C$4:$R$544,16,0)</f>
        <v>0</v>
      </c>
      <c r="K299">
        <f>VLOOKUP(B299,'MASTER DATA SLT'!$C$4:$S$544,17,0)</f>
        <v>0</v>
      </c>
      <c r="N299" t="str">
        <f>VLOOKUP(B299,'SALARY DETALES'!$B$2:$C$475,2,0)</f>
        <v>Section A #1</v>
      </c>
      <c r="O299" t="str">
        <f>VLOOKUP(B299,'SALARY DETALES'!$B$2:$D$475,3,0)</f>
        <v>BW/A</v>
      </c>
      <c r="Q299" t="str">
        <f>VLOOKUP(B299,'MASTER DATA SLT'!$C$4:$F$544,4,0)</f>
        <v>2025-03-20</v>
      </c>
      <c r="R299">
        <f>VLOOKUP(B299,'MASTER DATA SLT'!$C$4:$G$544,5,0)</f>
        <v>0</v>
      </c>
      <c r="U299">
        <f>VLOOKUP(B299,'SALARY DETALES'!$B$2:$S$475,18,0)</f>
        <v>16000</v>
      </c>
    </row>
    <row r="300" spans="1:21" x14ac:dyDescent="0.3">
      <c r="A300">
        <v>299</v>
      </c>
      <c r="B300">
        <v>80578</v>
      </c>
      <c r="C300" t="s">
        <v>1959</v>
      </c>
      <c r="D300" t="s">
        <v>342</v>
      </c>
      <c r="E300" t="str">
        <f>VLOOKUP(B300,'MASTER DATA SLT'!$C$4:$H$544,6,0)</f>
        <v>BUS</v>
      </c>
      <c r="F300" t="str">
        <f>VLOOKUP(B300,'MASTER DATA SLT'!$C$4:$F$544,4,0)</f>
        <v>2025-01-09</v>
      </c>
      <c r="G300" t="str">
        <f>VLOOKUP(B300,'MASTER DATA SLT'!$C$4:$P$544,14,0)</f>
        <v>71203-7902360</v>
      </c>
      <c r="I300" t="str">
        <f>VLOOKUP(B300,'MASTER DATA SLT'!$C$4:$Q$544,15,0)</f>
        <v>03555378643</v>
      </c>
      <c r="J300">
        <f>VLOOKUP(B300,'MASTER DATA SLT'!$C$4:$R$544,16,0)</f>
        <v>0</v>
      </c>
      <c r="K300">
        <f>VLOOKUP(B300,'MASTER DATA SLT'!$C$4:$S$544,17,0)</f>
        <v>0</v>
      </c>
      <c r="N300" t="str">
        <f>VLOOKUP(B300,'SALARY DETALES'!$B$2:$C$475,2,0)</f>
        <v>Section A#2</v>
      </c>
      <c r="O300" t="str">
        <f>VLOOKUP(B300,'SALARY DETALES'!$B$2:$D$475,3,0)</f>
        <v>BW/A</v>
      </c>
      <c r="Q300" t="str">
        <f>VLOOKUP(B300,'MASTER DATA SLT'!$C$4:$F$544,4,0)</f>
        <v>2025-01-09</v>
      </c>
      <c r="R300">
        <f>VLOOKUP(B300,'MASTER DATA SLT'!$C$4:$G$544,5,0)</f>
        <v>0</v>
      </c>
      <c r="U300">
        <f>VLOOKUP(B300,'SALARY DETALES'!$B$2:$S$475,18,0)</f>
        <v>16000</v>
      </c>
    </row>
    <row r="301" spans="1:21" x14ac:dyDescent="0.3">
      <c r="A301">
        <v>300</v>
      </c>
      <c r="B301">
        <v>80645</v>
      </c>
      <c r="C301" t="s">
        <v>1933</v>
      </c>
      <c r="D301" t="s">
        <v>1846</v>
      </c>
      <c r="E301" t="str">
        <f>VLOOKUP(B301,'MASTER DATA SLT'!$C$4:$H$544,6,0)</f>
        <v>BUS</v>
      </c>
      <c r="F301" t="str">
        <f>VLOOKUP(B301,'MASTER DATA SLT'!$C$4:$F$544,4,0)</f>
        <v>2025-02-20</v>
      </c>
      <c r="G301">
        <f>VLOOKUP(B301,'MASTER DATA SLT'!$C$4:$P$544,14,0)</f>
        <v>0</v>
      </c>
      <c r="I301" t="str">
        <f>VLOOKUP(B301,'MASTER DATA SLT'!$C$4:$Q$544,15,0)</f>
        <v>0355-4738882</v>
      </c>
      <c r="J301">
        <f>VLOOKUP(B301,'MASTER DATA SLT'!$C$4:$R$544,16,0)</f>
        <v>0</v>
      </c>
      <c r="K301">
        <f>VLOOKUP(B301,'MASTER DATA SLT'!$C$4:$S$544,17,0)</f>
        <v>0</v>
      </c>
      <c r="N301" t="str">
        <f>VLOOKUP(B301,'SALARY DETALES'!$B$2:$C$475,2,0)</f>
        <v>Section A#2</v>
      </c>
      <c r="O301" t="str">
        <f>VLOOKUP(B301,'SALARY DETALES'!$B$2:$D$475,3,0)</f>
        <v>B/W</v>
      </c>
      <c r="Q301" t="str">
        <f>VLOOKUP(B301,'MASTER DATA SLT'!$C$4:$F$544,4,0)</f>
        <v>2025-02-20</v>
      </c>
      <c r="R301">
        <f>VLOOKUP(B301,'MASTER DATA SLT'!$C$4:$G$544,5,0)</f>
        <v>0</v>
      </c>
      <c r="U301">
        <f>VLOOKUP(B301,'SALARY DETALES'!$B$2:$S$475,18,0)</f>
        <v>20000</v>
      </c>
    </row>
    <row r="302" spans="1:21" x14ac:dyDescent="0.3">
      <c r="A302">
        <v>301</v>
      </c>
      <c r="B302">
        <v>30014</v>
      </c>
      <c r="C302" t="s">
        <v>508</v>
      </c>
      <c r="D302" t="s">
        <v>2137</v>
      </c>
      <c r="E302" t="str">
        <f>VLOOKUP(B302,'MASTER DATA SLT'!$C$4:$H$544,6,0)</f>
        <v>BUS</v>
      </c>
      <c r="F302" t="str">
        <f>VLOOKUP(B302,'MASTER DATA SLT'!$C$4:$F$544,4,0)</f>
        <v>2024-10-18</v>
      </c>
      <c r="G302" t="str">
        <f>VLOOKUP(B302,'MASTER DATA SLT'!$C$4:$P$544,14,0)</f>
        <v>41601-0583902</v>
      </c>
      <c r="I302" t="str">
        <f>VLOOKUP(B302,'MASTER DATA SLT'!$C$4:$Q$544,15,0)</f>
        <v>0318-6858626</v>
      </c>
      <c r="J302">
        <f>VLOOKUP(B302,'MASTER DATA SLT'!$C$4:$R$544,16,0)</f>
        <v>0</v>
      </c>
      <c r="K302">
        <f>VLOOKUP(B302,'MASTER DATA SLT'!$C$4:$S$544,17,0)</f>
        <v>0</v>
      </c>
      <c r="N302" t="str">
        <f>VLOOKUP(B302,'SALARY DETALES'!$B$2:$C$475,2,0)</f>
        <v>Section A#2</v>
      </c>
      <c r="O302" t="str">
        <f>VLOOKUP(B302,'SALARY DETALES'!$B$2:$D$475,3,0)</f>
        <v>OT</v>
      </c>
      <c r="Q302" t="str">
        <f>VLOOKUP(B302,'MASTER DATA SLT'!$C$4:$F$544,4,0)</f>
        <v>2024-10-18</v>
      </c>
      <c r="R302">
        <f>VLOOKUP(B302,'MASTER DATA SLT'!$C$4:$G$544,5,0)</f>
        <v>0</v>
      </c>
      <c r="U302">
        <f>VLOOKUP(B302,'SALARY DETALES'!$B$2:$S$475,18,0)</f>
        <v>25000</v>
      </c>
    </row>
    <row r="303" spans="1:21" x14ac:dyDescent="0.3">
      <c r="A303">
        <v>302</v>
      </c>
      <c r="B303">
        <v>32130</v>
      </c>
      <c r="C303" t="s">
        <v>509</v>
      </c>
      <c r="D303" t="s">
        <v>2137</v>
      </c>
      <c r="E303" t="str">
        <f>VLOOKUP(B303,'MASTER DATA SLT'!$C$4:$H$544,6,0)</f>
        <v>BUS</v>
      </c>
      <c r="F303" t="str">
        <f>VLOOKUP(B303,'MASTER DATA SLT'!$C$4:$F$544,4,0)</f>
        <v>2024-12-20</v>
      </c>
      <c r="G303" t="str">
        <f>VLOOKUP(B303,'MASTER DATA SLT'!$C$4:$P$544,14,0)</f>
        <v>71601-0624413</v>
      </c>
      <c r="I303" t="str">
        <f>VLOOKUP(B303,'MASTER DATA SLT'!$C$4:$Q$544,15,0)</f>
        <v>0317-6758865</v>
      </c>
      <c r="J303">
        <f>VLOOKUP(B303,'MASTER DATA SLT'!$C$4:$R$544,16,0)</f>
        <v>0</v>
      </c>
      <c r="K303">
        <f>VLOOKUP(B303,'MASTER DATA SLT'!$C$4:$S$544,17,0)</f>
        <v>0</v>
      </c>
      <c r="N303" t="str">
        <f>VLOOKUP(B303,'SALARY DETALES'!$B$2:$C$475,2,0)</f>
        <v>Section A#2</v>
      </c>
      <c r="O303" t="str">
        <f>VLOOKUP(B303,'SALARY DETALES'!$B$2:$D$475,3,0)</f>
        <v>OT</v>
      </c>
      <c r="Q303" t="str">
        <f>VLOOKUP(B303,'MASTER DATA SLT'!$C$4:$F$544,4,0)</f>
        <v>2024-12-20</v>
      </c>
      <c r="R303">
        <f>VLOOKUP(B303,'MASTER DATA SLT'!$C$4:$G$544,5,0)</f>
        <v>0</v>
      </c>
      <c r="U303">
        <f>VLOOKUP(B303,'SALARY DETALES'!$B$2:$S$475,18,0)</f>
        <v>25000</v>
      </c>
    </row>
    <row r="304" spans="1:21" x14ac:dyDescent="0.3">
      <c r="A304">
        <v>303</v>
      </c>
      <c r="B304">
        <v>27207</v>
      </c>
      <c r="C304" t="s">
        <v>510</v>
      </c>
      <c r="D304" t="s">
        <v>2137</v>
      </c>
      <c r="E304" t="str">
        <f>VLOOKUP(B304,'MASTER DATA SLT'!$C$4:$H$544,6,0)</f>
        <v>BUS</v>
      </c>
      <c r="F304" t="str">
        <f>VLOOKUP(B304,'MASTER DATA SLT'!$C$4:$F$544,4,0)</f>
        <v>2023-10-07</v>
      </c>
      <c r="G304">
        <f>VLOOKUP(B304,'MASTER DATA SLT'!$C$4:$P$544,14,0)</f>
        <v>0</v>
      </c>
      <c r="I304">
        <f>VLOOKUP(B304,'MASTER DATA SLT'!$C$4:$Q$544,15,0)</f>
        <v>0</v>
      </c>
      <c r="J304">
        <f>VLOOKUP(B304,'MASTER DATA SLT'!$C$4:$R$544,16,0)</f>
        <v>0</v>
      </c>
      <c r="K304">
        <f>VLOOKUP(B304,'MASTER DATA SLT'!$C$4:$S$544,17,0)</f>
        <v>0</v>
      </c>
      <c r="N304" t="str">
        <f>VLOOKUP(B304,'SALARY DETALES'!$B$2:$C$475,2,0)</f>
        <v>Section A#2</v>
      </c>
      <c r="O304" t="str">
        <f>VLOOKUP(B304,'SALARY DETALES'!$B$2:$D$475,3,0)</f>
        <v>BW</v>
      </c>
      <c r="Q304" t="str">
        <f>VLOOKUP(B304,'MASTER DATA SLT'!$C$4:$F$544,4,0)</f>
        <v>2023-10-07</v>
      </c>
      <c r="R304">
        <f>VLOOKUP(B304,'MASTER DATA SLT'!$C$4:$G$544,5,0)</f>
        <v>0</v>
      </c>
      <c r="U304">
        <f>VLOOKUP(B304,'SALARY DETALES'!$B$2:$S$475,18,0)</f>
        <v>25000</v>
      </c>
    </row>
    <row r="305" spans="1:21" x14ac:dyDescent="0.3">
      <c r="A305">
        <v>304</v>
      </c>
      <c r="B305">
        <v>80472</v>
      </c>
      <c r="C305" t="s">
        <v>2049</v>
      </c>
      <c r="D305" t="s">
        <v>1983</v>
      </c>
      <c r="E305" t="str">
        <f>VLOOKUP(B305,'MASTER DATA SLT'!$C$4:$H$544,6,0)</f>
        <v>BUS</v>
      </c>
      <c r="F305" t="str">
        <f>VLOOKUP(B305,'MASTER DATA SLT'!$C$4:$F$544,4,0)</f>
        <v>2025-01-14</v>
      </c>
      <c r="G305" t="str">
        <f>VLOOKUP(B305,'MASTER DATA SLT'!$C$4:$P$544,14,0)</f>
        <v>71501-0859553</v>
      </c>
      <c r="I305" t="str">
        <f>VLOOKUP(B305,'MASTER DATA SLT'!$C$4:$Q$544,15,0)</f>
        <v>0370-3018295</v>
      </c>
      <c r="J305">
        <f>VLOOKUP(B305,'MASTER DATA SLT'!$C$4:$R$544,16,0)</f>
        <v>0</v>
      </c>
      <c r="K305">
        <f>VLOOKUP(B305,'MASTER DATA SLT'!$C$4:$S$544,17,0)</f>
        <v>0</v>
      </c>
      <c r="N305" t="str">
        <f>VLOOKUP(B305,'SALARY DETALES'!$B$2:$C$475,2,0)</f>
        <v>Section A#2</v>
      </c>
      <c r="O305" t="str">
        <f>VLOOKUP(B305,'SALARY DETALES'!$B$2:$D$475,3,0)</f>
        <v>B/S</v>
      </c>
      <c r="Q305" t="str">
        <f>VLOOKUP(B305,'MASTER DATA SLT'!$C$4:$F$544,4,0)</f>
        <v>2025-01-14</v>
      </c>
      <c r="R305">
        <f>VLOOKUP(B305,'MASTER DATA SLT'!$C$4:$G$544,5,0)</f>
        <v>0</v>
      </c>
      <c r="U305">
        <f>VLOOKUP(B305,'SALARY DETALES'!$B$2:$S$475,18,0)</f>
        <v>16000</v>
      </c>
    </row>
    <row r="306" spans="1:21" x14ac:dyDescent="0.3">
      <c r="A306">
        <v>305</v>
      </c>
      <c r="B306">
        <v>80479</v>
      </c>
      <c r="C306" t="s">
        <v>2050</v>
      </c>
      <c r="D306" t="s">
        <v>2051</v>
      </c>
      <c r="E306" t="str">
        <f>VLOOKUP(B306,'MASTER DATA SLT'!$C$4:$H$544,6,0)</f>
        <v>BUS</v>
      </c>
      <c r="F306" t="str">
        <f>VLOOKUP(B306,'MASTER DATA SLT'!$C$4:$F$544,4,0)</f>
        <v>2024-11-04</v>
      </c>
      <c r="G306" t="str">
        <f>VLOOKUP(B306,'MASTER DATA SLT'!$C$4:$P$544,14,0)</f>
        <v>71602-0352366</v>
      </c>
      <c r="I306" t="str">
        <f>VLOOKUP(B306,'MASTER DATA SLT'!$C$4:$Q$544,15,0)</f>
        <v>0337-2393350</v>
      </c>
      <c r="J306">
        <f>VLOOKUP(B306,'MASTER DATA SLT'!$C$4:$R$544,16,0)</f>
        <v>0</v>
      </c>
      <c r="K306">
        <f>VLOOKUP(B306,'MASTER DATA SLT'!$C$4:$S$544,17,0)</f>
        <v>0</v>
      </c>
      <c r="N306" t="str">
        <f>VLOOKUP(B306,'SALARY DETALES'!$B$2:$C$475,2,0)</f>
        <v>Section A#2</v>
      </c>
      <c r="O306" t="str">
        <f>VLOOKUP(B306,'SALARY DETALES'!$B$2:$D$475,3,0)</f>
        <v>B/S</v>
      </c>
      <c r="Q306" t="str">
        <f>VLOOKUP(B306,'MASTER DATA SLT'!$C$4:$F$544,4,0)</f>
        <v>2024-11-04</v>
      </c>
      <c r="R306">
        <f>VLOOKUP(B306,'MASTER DATA SLT'!$C$4:$G$544,5,0)</f>
        <v>0</v>
      </c>
      <c r="U306">
        <f>VLOOKUP(B306,'SALARY DETALES'!$B$2:$S$475,18,0)</f>
        <v>16000</v>
      </c>
    </row>
    <row r="307" spans="1:21" x14ac:dyDescent="0.3">
      <c r="A307">
        <v>306</v>
      </c>
      <c r="B307">
        <v>80704</v>
      </c>
      <c r="C307" t="s">
        <v>1881</v>
      </c>
      <c r="D307" t="s">
        <v>1869</v>
      </c>
      <c r="E307" t="str">
        <f>VLOOKUP(B307,'MASTER DATA SLT'!$C$4:$H$544,6,0)</f>
        <v>BUS</v>
      </c>
      <c r="F307" t="str">
        <f>VLOOKUP(B307,'MASTER DATA SLT'!$C$4:$F$544,4,0)</f>
        <v>2024-11-30</v>
      </c>
      <c r="G307" t="str">
        <f>VLOOKUP(B307,'MASTER DATA SLT'!$C$4:$P$544,14,0)</f>
        <v>42301-7497354</v>
      </c>
      <c r="I307" t="str">
        <f>VLOOKUP(B307,'MASTER DATA SLT'!$C$4:$Q$544,15,0)</f>
        <v>03220998759</v>
      </c>
      <c r="J307">
        <f>VLOOKUP(B307,'MASTER DATA SLT'!$C$4:$R$544,16,0)</f>
        <v>0</v>
      </c>
      <c r="K307">
        <f>VLOOKUP(B307,'MASTER DATA SLT'!$C$4:$S$544,17,0)</f>
        <v>0</v>
      </c>
      <c r="N307" t="str">
        <f>VLOOKUP(B307,'SALARY DETALES'!$B$2:$C$475,2,0)</f>
        <v>Section A#2</v>
      </c>
      <c r="O307" t="str">
        <f>VLOOKUP(B307,'SALARY DETALES'!$B$2:$D$475,3,0)</f>
        <v>BW/A</v>
      </c>
      <c r="Q307" t="str">
        <f>VLOOKUP(B307,'MASTER DATA SLT'!$C$4:$F$544,4,0)</f>
        <v>2024-11-30</v>
      </c>
      <c r="R307">
        <f>VLOOKUP(B307,'MASTER DATA SLT'!$C$4:$G$544,5,0)</f>
        <v>0</v>
      </c>
      <c r="U307">
        <f>VLOOKUP(B307,'SALARY DETALES'!$B$2:$S$475,18,0)</f>
        <v>16000</v>
      </c>
    </row>
    <row r="308" spans="1:21" x14ac:dyDescent="0.3">
      <c r="A308">
        <v>307</v>
      </c>
      <c r="B308">
        <v>80543</v>
      </c>
      <c r="C308" t="s">
        <v>2052</v>
      </c>
      <c r="D308" t="s">
        <v>1912</v>
      </c>
      <c r="E308" t="str">
        <f>VLOOKUP(B308,'MASTER DATA SLT'!$C$4:$H$544,6,0)</f>
        <v>BUS</v>
      </c>
      <c r="F308" t="str">
        <f>VLOOKUP(B308,'MASTER DATA SLT'!$C$4:$F$544,4,0)</f>
        <v>2024-12-21</v>
      </c>
      <c r="G308" t="str">
        <f>VLOOKUP(B308,'MASTER DATA SLT'!$C$4:$P$544,14,0)</f>
        <v>71602-0366607</v>
      </c>
      <c r="I308" t="str">
        <f>VLOOKUP(B308,'MASTER DATA SLT'!$C$4:$Q$544,15,0)</f>
        <v>03554365865</v>
      </c>
      <c r="J308">
        <f>VLOOKUP(B308,'MASTER DATA SLT'!$C$4:$R$544,16,0)</f>
        <v>0</v>
      </c>
      <c r="K308">
        <f>VLOOKUP(B308,'MASTER DATA SLT'!$C$4:$S$544,17,0)</f>
        <v>0</v>
      </c>
      <c r="N308" t="str">
        <f>VLOOKUP(B308,'SALARY DETALES'!$B$2:$C$475,2,0)</f>
        <v>Section A#2</v>
      </c>
      <c r="O308" t="str">
        <f>VLOOKUP(B308,'SALARY DETALES'!$B$2:$D$475,3,0)</f>
        <v>BW/A</v>
      </c>
      <c r="Q308" t="str">
        <f>VLOOKUP(B308,'MASTER DATA SLT'!$C$4:$F$544,4,0)</f>
        <v>2024-12-21</v>
      </c>
      <c r="R308">
        <f>VLOOKUP(B308,'MASTER DATA SLT'!$C$4:$G$544,5,0)</f>
        <v>0</v>
      </c>
      <c r="U308">
        <f>VLOOKUP(B308,'SALARY DETALES'!$B$2:$S$475,18,0)</f>
        <v>16000</v>
      </c>
    </row>
    <row r="309" spans="1:21" x14ac:dyDescent="0.3">
      <c r="A309">
        <v>308</v>
      </c>
      <c r="B309">
        <v>80544</v>
      </c>
      <c r="C309" t="s">
        <v>2053</v>
      </c>
      <c r="D309" t="s">
        <v>2166</v>
      </c>
      <c r="E309" t="str">
        <f>VLOOKUP(B309,'MASTER DATA SLT'!$C$4:$H$544,6,0)</f>
        <v>BUS</v>
      </c>
      <c r="F309" t="str">
        <f>VLOOKUP(B309,'MASTER DATA SLT'!$C$4:$F$544,4,0)</f>
        <v>2024-12-20</v>
      </c>
      <c r="G309" t="str">
        <f>VLOOKUP(B309,'MASTER DATA SLT'!$C$4:$P$544,14,0)</f>
        <v>71602-0345898</v>
      </c>
      <c r="I309" t="str">
        <f>VLOOKUP(B309,'MASTER DATA SLT'!$C$4:$Q$544,15,0)</f>
        <v>0355-4452727</v>
      </c>
      <c r="J309">
        <f>VLOOKUP(B309,'MASTER DATA SLT'!$C$4:$R$544,16,0)</f>
        <v>0</v>
      </c>
      <c r="K309">
        <f>VLOOKUP(B309,'MASTER DATA SLT'!$C$4:$S$544,17,0)</f>
        <v>0</v>
      </c>
      <c r="N309" t="str">
        <f>VLOOKUP(B309,'SALARY DETALES'!$B$2:$C$475,2,0)</f>
        <v>Section A#2</v>
      </c>
      <c r="O309" t="str">
        <f>VLOOKUP(B309,'SALARY DETALES'!$B$2:$D$475,3,0)</f>
        <v>B/W</v>
      </c>
      <c r="Q309" t="str">
        <f>VLOOKUP(B309,'MASTER DATA SLT'!$C$4:$F$544,4,0)</f>
        <v>2024-12-20</v>
      </c>
      <c r="R309">
        <f>VLOOKUP(B309,'MASTER DATA SLT'!$C$4:$G$544,5,0)</f>
        <v>0</v>
      </c>
      <c r="U309">
        <f>VLOOKUP(B309,'SALARY DETALES'!$B$2:$S$475,18,0)</f>
        <v>22000</v>
      </c>
    </row>
    <row r="310" spans="1:21" x14ac:dyDescent="0.3">
      <c r="A310">
        <v>309</v>
      </c>
      <c r="B310">
        <v>80547</v>
      </c>
      <c r="C310" t="s">
        <v>518</v>
      </c>
      <c r="D310" t="s">
        <v>2137</v>
      </c>
      <c r="E310" t="str">
        <f>VLOOKUP(B310,'MASTER DATA SLT'!$C$4:$H$544,6,0)</f>
        <v>BUS</v>
      </c>
      <c r="F310" t="str">
        <f>VLOOKUP(B310,'MASTER DATA SLT'!$C$4:$F$544,4,0)</f>
        <v>2024-12-20</v>
      </c>
      <c r="G310" t="str">
        <f>VLOOKUP(B310,'MASTER DATA SLT'!$C$4:$P$544,14,0)</f>
        <v>71203-6755005</v>
      </c>
      <c r="I310" t="str">
        <f>VLOOKUP(B310,'MASTER DATA SLT'!$C$4:$Q$544,15,0)</f>
        <v>0319-5427791</v>
      </c>
      <c r="J310">
        <f>VLOOKUP(B310,'MASTER DATA SLT'!$C$4:$R$544,16,0)</f>
        <v>0</v>
      </c>
      <c r="K310">
        <f>VLOOKUP(B310,'MASTER DATA SLT'!$C$4:$S$544,17,0)</f>
        <v>0</v>
      </c>
      <c r="N310" t="str">
        <f>VLOOKUP(B310,'SALARY DETALES'!$B$2:$C$475,2,0)</f>
        <v>Section A#2</v>
      </c>
      <c r="O310" t="str">
        <f>VLOOKUP(B310,'SALARY DETALES'!$B$2:$D$475,3,0)</f>
        <v>B/W</v>
      </c>
      <c r="Q310" t="str">
        <f>VLOOKUP(B310,'MASTER DATA SLT'!$C$4:$F$544,4,0)</f>
        <v>2024-12-20</v>
      </c>
      <c r="R310">
        <f>VLOOKUP(B310,'MASTER DATA SLT'!$C$4:$G$544,5,0)</f>
        <v>0</v>
      </c>
      <c r="U310">
        <f>VLOOKUP(B310,'SALARY DETALES'!$B$2:$S$475,18,0)</f>
        <v>16000</v>
      </c>
    </row>
    <row r="311" spans="1:21" x14ac:dyDescent="0.3">
      <c r="A311">
        <v>310</v>
      </c>
      <c r="B311">
        <v>80644</v>
      </c>
      <c r="C311" t="s">
        <v>519</v>
      </c>
      <c r="D311" t="s">
        <v>2137</v>
      </c>
      <c r="E311" t="str">
        <f>VLOOKUP(B311,'MASTER DATA SLT'!$C$4:$H$544,6,0)</f>
        <v>BUS</v>
      </c>
      <c r="F311" t="str">
        <f>VLOOKUP(B311,'MASTER DATA SLT'!$C$4:$F$544,4,0)</f>
        <v>2025-02-24</v>
      </c>
      <c r="G311">
        <f>VLOOKUP(B311,'MASTER DATA SLT'!$C$4:$P$544,14,0)</f>
        <v>0</v>
      </c>
      <c r="I311" t="str">
        <f>VLOOKUP(B311,'MASTER DATA SLT'!$C$4:$Q$544,15,0)</f>
        <v>0355-4272935</v>
      </c>
      <c r="J311">
        <f>VLOOKUP(B311,'MASTER DATA SLT'!$C$4:$R$544,16,0)</f>
        <v>0</v>
      </c>
      <c r="K311">
        <f>VLOOKUP(B311,'MASTER DATA SLT'!$C$4:$S$544,17,0)</f>
        <v>0</v>
      </c>
      <c r="N311" t="str">
        <f>VLOOKUP(B311,'SALARY DETALES'!$B$2:$C$475,2,0)</f>
        <v>Section A#2</v>
      </c>
      <c r="O311" t="str">
        <f>VLOOKUP(B311,'SALARY DETALES'!$B$2:$D$475,3,0)</f>
        <v>B/W</v>
      </c>
      <c r="Q311" t="str">
        <f>VLOOKUP(B311,'MASTER DATA SLT'!$C$4:$F$544,4,0)</f>
        <v>2025-02-24</v>
      </c>
      <c r="R311">
        <f>VLOOKUP(B311,'MASTER DATA SLT'!$C$4:$G$544,5,0)</f>
        <v>0</v>
      </c>
      <c r="U311">
        <f>VLOOKUP(B311,'SALARY DETALES'!$B$2:$S$475,18,0)</f>
        <v>16000</v>
      </c>
    </row>
    <row r="312" spans="1:21" x14ac:dyDescent="0.3">
      <c r="A312">
        <v>311</v>
      </c>
      <c r="B312">
        <v>80691</v>
      </c>
      <c r="C312" t="s">
        <v>1739</v>
      </c>
      <c r="D312" t="s">
        <v>2147</v>
      </c>
      <c r="E312" t="str">
        <f>VLOOKUP(B312,'MASTER DATA SLT'!$C$4:$H$544,6,0)</f>
        <v>BUS</v>
      </c>
      <c r="F312" t="str">
        <f>VLOOKUP(B312,'MASTER DATA SLT'!$C$4:$F$544,4,0)</f>
        <v>2025-03-12</v>
      </c>
      <c r="G312" t="str">
        <f>VLOOKUP(B312,'MASTER DATA SLT'!$C$4:$P$544,14,0)</f>
        <v>71202-0511444</v>
      </c>
      <c r="I312">
        <f>VLOOKUP(B312,'MASTER DATA SLT'!$C$4:$Q$544,15,0)</f>
        <v>0</v>
      </c>
      <c r="J312">
        <f>VLOOKUP(B312,'MASTER DATA SLT'!$C$4:$R$544,16,0)</f>
        <v>0</v>
      </c>
      <c r="K312">
        <f>VLOOKUP(B312,'MASTER DATA SLT'!$C$4:$S$544,17,0)</f>
        <v>0</v>
      </c>
      <c r="N312" t="str">
        <f>VLOOKUP(B312,'SALARY DETALES'!$B$2:$C$475,2,0)</f>
        <v>Section A#2</v>
      </c>
      <c r="O312" t="str">
        <f>VLOOKUP(B312,'SALARY DETALES'!$B$2:$D$475,3,0)</f>
        <v>O/T</v>
      </c>
      <c r="Q312" t="str">
        <f>VLOOKUP(B312,'MASTER DATA SLT'!$C$4:$F$544,4,0)</f>
        <v>2025-03-12</v>
      </c>
      <c r="R312">
        <f>VLOOKUP(B312,'MASTER DATA SLT'!$C$4:$G$544,5,0)</f>
        <v>0</v>
      </c>
      <c r="U312">
        <f>VLOOKUP(B312,'SALARY DETALES'!$B$2:$S$475,18,0)</f>
        <v>25000</v>
      </c>
    </row>
    <row r="313" spans="1:21" x14ac:dyDescent="0.3">
      <c r="A313">
        <v>312</v>
      </c>
      <c r="B313">
        <v>80700</v>
      </c>
      <c r="C313" t="s">
        <v>2051</v>
      </c>
      <c r="D313" t="s">
        <v>2147</v>
      </c>
      <c r="E313" t="str">
        <f>VLOOKUP(B313,'MASTER DATA SLT'!$C$4:$H$544,6,0)</f>
        <v>BUS</v>
      </c>
      <c r="F313" t="str">
        <f>VLOOKUP(B313,'MASTER DATA SLT'!$C$4:$F$544,4,0)</f>
        <v>2025-03-11</v>
      </c>
      <c r="G313">
        <f>VLOOKUP(B313,'MASTER DATA SLT'!$C$4:$P$544,14,0)</f>
        <v>0</v>
      </c>
      <c r="I313">
        <f>VLOOKUP(B313,'MASTER DATA SLT'!$C$4:$Q$544,15,0)</f>
        <v>0</v>
      </c>
      <c r="J313">
        <f>VLOOKUP(B313,'MASTER DATA SLT'!$C$4:$R$544,16,0)</f>
        <v>0</v>
      </c>
      <c r="K313">
        <f>VLOOKUP(B313,'MASTER DATA SLT'!$C$4:$S$544,17,0)</f>
        <v>0</v>
      </c>
      <c r="N313" t="str">
        <f>VLOOKUP(B313,'SALARY DETALES'!$B$2:$C$475,2,0)</f>
        <v>Section A#2</v>
      </c>
      <c r="O313" t="str">
        <f>VLOOKUP(B313,'SALARY DETALES'!$B$2:$D$475,3,0)</f>
        <v>B/W</v>
      </c>
      <c r="Q313" t="str">
        <f>VLOOKUP(B313,'MASTER DATA SLT'!$C$4:$F$544,4,0)</f>
        <v>2025-03-11</v>
      </c>
      <c r="R313">
        <f>VLOOKUP(B313,'MASTER DATA SLT'!$C$4:$G$544,5,0)</f>
        <v>0</v>
      </c>
      <c r="U313">
        <f>VLOOKUP(B313,'SALARY DETALES'!$B$2:$S$475,18,0)</f>
        <v>16000</v>
      </c>
    </row>
    <row r="314" spans="1:21" x14ac:dyDescent="0.3">
      <c r="A314">
        <v>313</v>
      </c>
      <c r="B314">
        <v>80709</v>
      </c>
      <c r="C314" t="s">
        <v>1936</v>
      </c>
      <c r="D314" t="s">
        <v>1874</v>
      </c>
      <c r="E314" t="str">
        <f>VLOOKUP(B314,'MASTER DATA SLT'!$C$4:$H$544,6,0)</f>
        <v>BUS</v>
      </c>
      <c r="F314" t="str">
        <f>VLOOKUP(B314,'MASTER DATA SLT'!$C$4:$F$544,4,0)</f>
        <v>2025-03-11</v>
      </c>
      <c r="G314">
        <f>VLOOKUP(B314,'MASTER DATA SLT'!$C$4:$P$544,14,0)</f>
        <v>0</v>
      </c>
      <c r="I314">
        <f>VLOOKUP(B314,'MASTER DATA SLT'!$C$4:$Q$544,15,0)</f>
        <v>0</v>
      </c>
      <c r="J314">
        <f>VLOOKUP(B314,'MASTER DATA SLT'!$C$4:$R$544,16,0)</f>
        <v>0</v>
      </c>
      <c r="K314">
        <f>VLOOKUP(B314,'MASTER DATA SLT'!$C$4:$S$544,17,0)</f>
        <v>0</v>
      </c>
      <c r="N314" t="str">
        <f>VLOOKUP(B314,'SALARY DETALES'!$B$2:$C$475,2,0)</f>
        <v>Section A#2</v>
      </c>
      <c r="O314" t="str">
        <f>VLOOKUP(B314,'SALARY DETALES'!$B$2:$D$475,3,0)</f>
        <v>B/W</v>
      </c>
      <c r="Q314" t="str">
        <f>VLOOKUP(B314,'MASTER DATA SLT'!$C$4:$F$544,4,0)</f>
        <v>2025-03-11</v>
      </c>
      <c r="R314">
        <f>VLOOKUP(B314,'MASTER DATA SLT'!$C$4:$G$544,5,0)</f>
        <v>0</v>
      </c>
      <c r="U314">
        <f>VLOOKUP(B314,'SALARY DETALES'!$B$2:$S$475,18,0)</f>
        <v>16000</v>
      </c>
    </row>
    <row r="315" spans="1:21" x14ac:dyDescent="0.3">
      <c r="A315">
        <v>314</v>
      </c>
      <c r="B315">
        <v>80729</v>
      </c>
      <c r="C315" t="s">
        <v>2054</v>
      </c>
      <c r="D315" t="s">
        <v>2055</v>
      </c>
      <c r="E315" t="str">
        <f>VLOOKUP(B315,'MASTER DATA SLT'!$C$4:$H$544,6,0)</f>
        <v>BUS</v>
      </c>
      <c r="F315" t="str">
        <f>VLOOKUP(B315,'MASTER DATA SLT'!$C$4:$F$544,4,0)</f>
        <v>2025-03-20</v>
      </c>
      <c r="G315">
        <f>VLOOKUP(B315,'MASTER DATA SLT'!$C$4:$P$544,14,0)</f>
        <v>0</v>
      </c>
      <c r="I315">
        <f>VLOOKUP(B315,'MASTER DATA SLT'!$C$4:$Q$544,15,0)</f>
        <v>0</v>
      </c>
      <c r="J315">
        <f>VLOOKUP(B315,'MASTER DATA SLT'!$C$4:$R$544,16,0)</f>
        <v>0</v>
      </c>
      <c r="K315">
        <f>VLOOKUP(B315,'MASTER DATA SLT'!$C$4:$S$544,17,0)</f>
        <v>0</v>
      </c>
      <c r="N315" t="str">
        <f>VLOOKUP(B315,'SALARY DETALES'!$B$2:$C$475,2,0)</f>
        <v>Section A#2</v>
      </c>
      <c r="O315" t="str">
        <f>VLOOKUP(B315,'SALARY DETALES'!$B$2:$D$475,3,0)</f>
        <v>B/W</v>
      </c>
      <c r="Q315" t="str">
        <f>VLOOKUP(B315,'MASTER DATA SLT'!$C$4:$F$544,4,0)</f>
        <v>2025-03-20</v>
      </c>
      <c r="R315">
        <f>VLOOKUP(B315,'MASTER DATA SLT'!$C$4:$G$544,5,0)</f>
        <v>0</v>
      </c>
      <c r="U315">
        <f>VLOOKUP(B315,'SALARY DETALES'!$B$2:$S$475,18,0)</f>
        <v>16000</v>
      </c>
    </row>
    <row r="316" spans="1:21" x14ac:dyDescent="0.3">
      <c r="A316">
        <v>315</v>
      </c>
      <c r="B316">
        <v>80765</v>
      </c>
      <c r="C316" t="s">
        <v>2056</v>
      </c>
      <c r="D316" t="s">
        <v>1846</v>
      </c>
      <c r="E316" t="str">
        <f>VLOOKUP(B316,'MASTER DATA SLT'!$C$4:$H$544,6,0)</f>
        <v>BUS</v>
      </c>
      <c r="F316" t="str">
        <f>VLOOKUP(B316,'MASTER DATA SLT'!$C$4:$F$544,4,0)</f>
        <v>2025-04-16</v>
      </c>
      <c r="G316">
        <f>VLOOKUP(B316,'MASTER DATA SLT'!$C$4:$P$544,14,0)</f>
        <v>0</v>
      </c>
      <c r="I316">
        <f>VLOOKUP(B316,'MASTER DATA SLT'!$C$4:$Q$544,15,0)</f>
        <v>0</v>
      </c>
      <c r="J316">
        <f>VLOOKUP(B316,'MASTER DATA SLT'!$C$4:$R$544,16,0)</f>
        <v>0</v>
      </c>
      <c r="K316">
        <f>VLOOKUP(B316,'MASTER DATA SLT'!$C$4:$S$544,17,0)</f>
        <v>0</v>
      </c>
      <c r="N316" t="str">
        <f>VLOOKUP(B316,'SALARY DETALES'!$B$2:$C$475,2,0)</f>
        <v>Section A#2</v>
      </c>
      <c r="O316" t="str">
        <f>VLOOKUP(B316,'SALARY DETALES'!$B$2:$D$475,3,0)</f>
        <v>BST</v>
      </c>
      <c r="Q316" t="str">
        <f>VLOOKUP(B316,'MASTER DATA SLT'!$C$4:$F$544,4,0)</f>
        <v>2025-04-16</v>
      </c>
      <c r="R316">
        <f>VLOOKUP(B316,'MASTER DATA SLT'!$C$4:$G$544,5,0)</f>
        <v>0</v>
      </c>
      <c r="U316">
        <f>VLOOKUP(B316,'SALARY DETALES'!$B$2:$S$475,18,0)</f>
        <v>16000</v>
      </c>
    </row>
    <row r="317" spans="1:21" x14ac:dyDescent="0.3">
      <c r="A317">
        <v>316</v>
      </c>
      <c r="B317">
        <v>80766</v>
      </c>
      <c r="C317" t="s">
        <v>249</v>
      </c>
      <c r="D317" t="s">
        <v>2137</v>
      </c>
      <c r="E317" t="str">
        <f>VLOOKUP(B317,'MASTER DATA SLT'!$C$4:$H$544,6,0)</f>
        <v>BUS</v>
      </c>
      <c r="F317" t="str">
        <f>VLOOKUP(B317,'MASTER DATA SLT'!$C$4:$F$544,4,0)</f>
        <v>2025-04-16</v>
      </c>
      <c r="G317">
        <f>VLOOKUP(B317,'MASTER DATA SLT'!$C$4:$P$544,14,0)</f>
        <v>0</v>
      </c>
      <c r="I317">
        <f>VLOOKUP(B317,'MASTER DATA SLT'!$C$4:$Q$544,15,0)</f>
        <v>0</v>
      </c>
      <c r="J317">
        <f>VLOOKUP(B317,'MASTER DATA SLT'!$C$4:$R$544,16,0)</f>
        <v>0</v>
      </c>
      <c r="K317">
        <f>VLOOKUP(B317,'MASTER DATA SLT'!$C$4:$S$544,17,0)</f>
        <v>0</v>
      </c>
      <c r="N317" t="str">
        <f>VLOOKUP(B317,'SALARY DETALES'!$B$2:$C$475,2,0)</f>
        <v>Section A#2</v>
      </c>
      <c r="O317" t="str">
        <f>VLOOKUP(B317,'SALARY DETALES'!$B$2:$D$475,3,0)</f>
        <v>BST</v>
      </c>
      <c r="Q317" t="str">
        <f>VLOOKUP(B317,'MASTER DATA SLT'!$C$4:$F$544,4,0)</f>
        <v>2025-04-16</v>
      </c>
      <c r="R317">
        <f>VLOOKUP(B317,'MASTER DATA SLT'!$C$4:$G$544,5,0)</f>
        <v>0</v>
      </c>
      <c r="U317">
        <f>VLOOKUP(B317,'SALARY DETALES'!$B$2:$S$475,18,0)</f>
        <v>16000</v>
      </c>
    </row>
    <row r="318" spans="1:21" x14ac:dyDescent="0.3">
      <c r="A318">
        <v>317</v>
      </c>
      <c r="B318">
        <v>80783</v>
      </c>
      <c r="C318" t="s">
        <v>2052</v>
      </c>
      <c r="D318" t="s">
        <v>2147</v>
      </c>
      <c r="E318" t="str">
        <f>VLOOKUP(B318,'MASTER DATA SLT'!$C$4:$H$544,6,0)</f>
        <v>BUS</v>
      </c>
      <c r="F318" t="str">
        <f>VLOOKUP(B318,'MASTER DATA SLT'!$C$4:$F$544,4,0)</f>
        <v>2025-04-20</v>
      </c>
      <c r="G318">
        <f>VLOOKUP(B318,'MASTER DATA SLT'!$C$4:$P$544,14,0)</f>
        <v>0</v>
      </c>
      <c r="I318" t="str">
        <f>VLOOKUP(B318,'MASTER DATA SLT'!$C$4:$Q$544,15,0)</f>
        <v>0348-8429006</v>
      </c>
      <c r="J318">
        <f>VLOOKUP(B318,'MASTER DATA SLT'!$C$4:$R$544,16,0)</f>
        <v>0</v>
      </c>
      <c r="K318">
        <f>VLOOKUP(B318,'MASTER DATA SLT'!$C$4:$S$544,17,0)</f>
        <v>0</v>
      </c>
      <c r="N318" t="str">
        <f>VLOOKUP(B318,'SALARY DETALES'!$B$2:$C$475,2,0)</f>
        <v>Section A#2</v>
      </c>
      <c r="O318" t="str">
        <f>VLOOKUP(B318,'SALARY DETALES'!$B$2:$D$475,3,0)</f>
        <v>B/W</v>
      </c>
      <c r="Q318" t="str">
        <f>VLOOKUP(B318,'MASTER DATA SLT'!$C$4:$F$544,4,0)</f>
        <v>2025-04-20</v>
      </c>
      <c r="R318">
        <f>VLOOKUP(B318,'MASTER DATA SLT'!$C$4:$G$544,5,0)</f>
        <v>0</v>
      </c>
      <c r="U318">
        <f>VLOOKUP(B318,'SALARY DETALES'!$B$2:$S$475,18,0)</f>
        <v>16000</v>
      </c>
    </row>
    <row r="319" spans="1:21" x14ac:dyDescent="0.3">
      <c r="A319">
        <v>318</v>
      </c>
      <c r="B319">
        <v>80785</v>
      </c>
      <c r="C319" t="s">
        <v>1999</v>
      </c>
      <c r="D319" t="s">
        <v>1869</v>
      </c>
      <c r="E319" t="str">
        <f>VLOOKUP(B319,'MASTER DATA SLT'!$C$4:$H$544,6,0)</f>
        <v>BUS</v>
      </c>
      <c r="F319" t="str">
        <f>VLOOKUP(B319,'MASTER DATA SLT'!$C$4:$F$544,4,0)</f>
        <v>2025-04-21</v>
      </c>
      <c r="G319">
        <f>VLOOKUP(B319,'MASTER DATA SLT'!$C$4:$P$544,14,0)</f>
        <v>0</v>
      </c>
      <c r="I319">
        <f>VLOOKUP(B319,'MASTER DATA SLT'!$C$4:$Q$544,15,0)</f>
        <v>0</v>
      </c>
      <c r="J319">
        <f>VLOOKUP(B319,'MASTER DATA SLT'!$C$4:$R$544,16,0)</f>
        <v>0</v>
      </c>
      <c r="K319">
        <f>VLOOKUP(B319,'MASTER DATA SLT'!$C$4:$S$544,17,0)</f>
        <v>0</v>
      </c>
      <c r="N319" t="str">
        <f>VLOOKUP(B319,'SALARY DETALES'!$B$2:$C$475,2,0)</f>
        <v>Section A#2</v>
      </c>
      <c r="O319" t="str">
        <f>VLOOKUP(B319,'SALARY DETALES'!$B$2:$D$475,3,0)</f>
        <v>B/W</v>
      </c>
      <c r="Q319" t="str">
        <f>VLOOKUP(B319,'MASTER DATA SLT'!$C$4:$F$544,4,0)</f>
        <v>2025-04-21</v>
      </c>
      <c r="R319">
        <f>VLOOKUP(B319,'MASTER DATA SLT'!$C$4:$G$544,5,0)</f>
        <v>0</v>
      </c>
      <c r="U319">
        <f>VLOOKUP(B319,'SALARY DETALES'!$B$2:$S$475,18,0)</f>
        <v>16000</v>
      </c>
    </row>
    <row r="320" spans="1:21" x14ac:dyDescent="0.3">
      <c r="A320">
        <v>319</v>
      </c>
      <c r="B320">
        <v>80786</v>
      </c>
      <c r="C320" t="s">
        <v>527</v>
      </c>
      <c r="D320" t="s">
        <v>2137</v>
      </c>
      <c r="E320" t="str">
        <f>VLOOKUP(B320,'MASTER DATA SLT'!$C$4:$H$544,6,0)</f>
        <v>BUS</v>
      </c>
      <c r="F320" t="str">
        <f>VLOOKUP(B320,'MASTER DATA SLT'!$C$4:$F$544,4,0)</f>
        <v>2025-04-18</v>
      </c>
      <c r="G320">
        <f>VLOOKUP(B320,'MASTER DATA SLT'!$C$4:$P$544,14,0)</f>
        <v>0</v>
      </c>
      <c r="I320">
        <f>VLOOKUP(B320,'MASTER DATA SLT'!$C$4:$Q$544,15,0)</f>
        <v>0</v>
      </c>
      <c r="J320">
        <f>VLOOKUP(B320,'MASTER DATA SLT'!$C$4:$R$544,16,0)</f>
        <v>0</v>
      </c>
      <c r="K320">
        <f>VLOOKUP(B320,'MASTER DATA SLT'!$C$4:$S$544,17,0)</f>
        <v>0</v>
      </c>
      <c r="N320" t="str">
        <f>VLOOKUP(B320,'SALARY DETALES'!$B$2:$C$475,2,0)</f>
        <v>Section A#2</v>
      </c>
      <c r="O320" t="str">
        <f>VLOOKUP(B320,'SALARY DETALES'!$B$2:$D$475,3,0)</f>
        <v>B/W</v>
      </c>
      <c r="Q320" t="str">
        <f>VLOOKUP(B320,'MASTER DATA SLT'!$C$4:$F$544,4,0)</f>
        <v>2025-04-18</v>
      </c>
      <c r="R320">
        <f>VLOOKUP(B320,'MASTER DATA SLT'!$C$4:$G$544,5,0)</f>
        <v>0</v>
      </c>
      <c r="U320">
        <f>VLOOKUP(B320,'SALARY DETALES'!$B$2:$S$475,18,0)</f>
        <v>16000</v>
      </c>
    </row>
    <row r="321" spans="1:21" x14ac:dyDescent="0.3">
      <c r="A321">
        <v>320</v>
      </c>
      <c r="B321">
        <v>80788</v>
      </c>
      <c r="C321" t="s">
        <v>1845</v>
      </c>
      <c r="D321" t="s">
        <v>1846</v>
      </c>
      <c r="E321" t="str">
        <f>VLOOKUP(B321,'MASTER DATA SLT'!$C$4:$H$544,6,0)</f>
        <v>BUS</v>
      </c>
      <c r="F321" t="str">
        <f>VLOOKUP(B321,'MASTER DATA SLT'!$C$4:$F$544,4,0)</f>
        <v>2025-04-21</v>
      </c>
      <c r="G321">
        <f>VLOOKUP(B321,'MASTER DATA SLT'!$C$4:$P$544,14,0)</f>
        <v>0</v>
      </c>
      <c r="I321">
        <f>VLOOKUP(B321,'MASTER DATA SLT'!$C$4:$Q$544,15,0)</f>
        <v>0</v>
      </c>
      <c r="J321">
        <f>VLOOKUP(B321,'MASTER DATA SLT'!$C$4:$R$544,16,0)</f>
        <v>0</v>
      </c>
      <c r="K321">
        <f>VLOOKUP(B321,'MASTER DATA SLT'!$C$4:$S$544,17,0)</f>
        <v>0</v>
      </c>
      <c r="N321" t="str">
        <f>VLOOKUP(B321,'SALARY DETALES'!$B$2:$C$475,2,0)</f>
        <v>Section A#2</v>
      </c>
      <c r="O321" t="str">
        <f>VLOOKUP(B321,'SALARY DETALES'!$B$2:$D$475,3,0)</f>
        <v>B/W</v>
      </c>
      <c r="Q321" t="str">
        <f>VLOOKUP(B321,'MASTER DATA SLT'!$C$4:$F$544,4,0)</f>
        <v>2025-04-21</v>
      </c>
      <c r="R321">
        <f>VLOOKUP(B321,'MASTER DATA SLT'!$C$4:$G$544,5,0)</f>
        <v>0</v>
      </c>
      <c r="U321">
        <f>VLOOKUP(B321,'SALARY DETALES'!$B$2:$S$475,18,0)</f>
        <v>16000</v>
      </c>
    </row>
    <row r="322" spans="1:21" x14ac:dyDescent="0.3">
      <c r="A322">
        <v>321</v>
      </c>
      <c r="B322">
        <v>32018</v>
      </c>
      <c r="C322" t="s">
        <v>2057</v>
      </c>
      <c r="D322" t="s">
        <v>1883</v>
      </c>
      <c r="E322" t="str">
        <f>VLOOKUP(B322,'MASTER DATA SLT'!$C$4:$H$544,6,0)</f>
        <v>BUS</v>
      </c>
      <c r="F322" t="str">
        <f>VLOOKUP(B322,'MASTER DATA SLT'!$C$4:$F$544,4,0)</f>
        <v>2021-12-21</v>
      </c>
      <c r="G322">
        <f>VLOOKUP(B322,'MASTER DATA SLT'!$C$4:$P$544,14,0)</f>
        <v>0</v>
      </c>
      <c r="I322" t="str">
        <f>VLOOKUP(B322,'MASTER DATA SLT'!$C$4:$Q$544,15,0)</f>
        <v>0346-0387511</v>
      </c>
      <c r="J322">
        <f>VLOOKUP(B322,'MASTER DATA SLT'!$C$4:$R$544,16,0)</f>
        <v>0</v>
      </c>
      <c r="K322">
        <f>VLOOKUP(B322,'MASTER DATA SLT'!$C$4:$S$544,17,0)</f>
        <v>0</v>
      </c>
      <c r="N322" t="str">
        <f>VLOOKUP(B322,'SALARY DETALES'!$B$2:$C$475,2,0)</f>
        <v>Section B #1</v>
      </c>
      <c r="O322" t="str">
        <f>VLOOKUP(B322,'SALARY DETALES'!$B$2:$D$475,3,0)</f>
        <v>OT</v>
      </c>
      <c r="Q322" t="str">
        <f>VLOOKUP(B322,'MASTER DATA SLT'!$C$4:$F$544,4,0)</f>
        <v>2021-12-21</v>
      </c>
      <c r="R322">
        <f>VLOOKUP(B322,'MASTER DATA SLT'!$C$4:$G$544,5,0)</f>
        <v>0</v>
      </c>
      <c r="U322">
        <f>VLOOKUP(B322,'SALARY DETALES'!$B$2:$S$475,18,0)</f>
        <v>27500</v>
      </c>
    </row>
    <row r="323" spans="1:21" x14ac:dyDescent="0.3">
      <c r="A323">
        <v>322</v>
      </c>
      <c r="B323">
        <v>32103</v>
      </c>
      <c r="C323" t="s">
        <v>555</v>
      </c>
      <c r="D323" t="s">
        <v>1883</v>
      </c>
      <c r="E323" t="str">
        <f>VLOOKUP(B323,'MASTER DATA SLT'!$C$4:$H$544,6,0)</f>
        <v>BUS</v>
      </c>
      <c r="F323" t="str">
        <f>VLOOKUP(B323,'MASTER DATA SLT'!$C$4:$F$544,4,0)</f>
        <v>2022-09-27</v>
      </c>
      <c r="G323">
        <f>VLOOKUP(B323,'MASTER DATA SLT'!$C$4:$P$544,14,0)</f>
        <v>0</v>
      </c>
      <c r="I323">
        <f>VLOOKUP(B323,'MASTER DATA SLT'!$C$4:$Q$544,15,0)</f>
        <v>0</v>
      </c>
      <c r="J323">
        <f>VLOOKUP(B323,'MASTER DATA SLT'!$C$4:$R$544,16,0)</f>
        <v>0</v>
      </c>
      <c r="K323">
        <f>VLOOKUP(B323,'MASTER DATA SLT'!$C$4:$S$544,17,0)</f>
        <v>0</v>
      </c>
      <c r="N323" t="str">
        <f>VLOOKUP(B323,'SALARY DETALES'!$B$2:$C$475,2,0)</f>
        <v>Section B #1</v>
      </c>
      <c r="O323" t="str">
        <f>VLOOKUP(B323,'SALARY DETALES'!$B$2:$D$475,3,0)</f>
        <v>O/T</v>
      </c>
      <c r="Q323" t="str">
        <f>VLOOKUP(B323,'MASTER DATA SLT'!$C$4:$F$544,4,0)</f>
        <v>2022-09-27</v>
      </c>
      <c r="R323">
        <f>VLOOKUP(B323,'MASTER DATA SLT'!$C$4:$G$544,5,0)</f>
        <v>0</v>
      </c>
      <c r="U323">
        <f>VLOOKUP(B323,'SALARY DETALES'!$B$2:$S$475,18,0)</f>
        <v>25000</v>
      </c>
    </row>
    <row r="324" spans="1:21" x14ac:dyDescent="0.3">
      <c r="A324">
        <v>323</v>
      </c>
      <c r="B324">
        <v>80562</v>
      </c>
      <c r="C324" t="s">
        <v>2058</v>
      </c>
      <c r="D324" t="s">
        <v>2147</v>
      </c>
      <c r="E324" t="str">
        <f>VLOOKUP(B324,'MASTER DATA SLT'!$C$4:$H$544,6,0)</f>
        <v>BUS</v>
      </c>
      <c r="F324" t="str">
        <f>VLOOKUP(B324,'MASTER DATA SLT'!$C$4:$F$544,4,0)</f>
        <v>2024-12-28</v>
      </c>
      <c r="G324" t="str">
        <f>VLOOKUP(B324,'MASTER DATA SLT'!$C$4:$P$544,14,0)</f>
        <v>71602-0345809</v>
      </c>
      <c r="I324" t="str">
        <f>VLOOKUP(B324,'MASTER DATA SLT'!$C$4:$Q$544,15,0)</f>
        <v>0355-5448434</v>
      </c>
      <c r="J324">
        <f>VLOOKUP(B324,'MASTER DATA SLT'!$C$4:$R$544,16,0)</f>
        <v>0</v>
      </c>
      <c r="K324">
        <f>VLOOKUP(B324,'MASTER DATA SLT'!$C$4:$S$544,17,0)</f>
        <v>0</v>
      </c>
      <c r="N324" t="str">
        <f>VLOOKUP(B324,'SALARY DETALES'!$B$2:$C$475,2,0)</f>
        <v>Section B #1</v>
      </c>
      <c r="O324" t="str">
        <f>VLOOKUP(B324,'SALARY DETALES'!$B$2:$D$475,3,0)</f>
        <v>B/W</v>
      </c>
      <c r="Q324" t="str">
        <f>VLOOKUP(B324,'MASTER DATA SLT'!$C$4:$F$544,4,0)</f>
        <v>2024-12-28</v>
      </c>
      <c r="R324">
        <f>VLOOKUP(B324,'MASTER DATA SLT'!$C$4:$G$544,5,0)</f>
        <v>0</v>
      </c>
      <c r="U324">
        <f>VLOOKUP(B324,'SALARY DETALES'!$B$2:$S$475,18,0)</f>
        <v>16000</v>
      </c>
    </row>
    <row r="325" spans="1:21" x14ac:dyDescent="0.3">
      <c r="A325">
        <v>324</v>
      </c>
      <c r="B325">
        <v>29007</v>
      </c>
      <c r="C325" t="s">
        <v>2059</v>
      </c>
      <c r="D325" t="s">
        <v>1893</v>
      </c>
      <c r="E325" t="str">
        <f>VLOOKUP(B325,'MASTER DATA SLT'!$C$4:$H$544,6,0)</f>
        <v>BUS</v>
      </c>
      <c r="F325" t="str">
        <f>VLOOKUP(B325,'MASTER DATA SLT'!$C$4:$F$544,4,0)</f>
        <v>2022-01-26</v>
      </c>
      <c r="G325">
        <f>VLOOKUP(B325,'MASTER DATA SLT'!$C$4:$P$544,14,0)</f>
        <v>0</v>
      </c>
      <c r="I325">
        <f>VLOOKUP(B325,'MASTER DATA SLT'!$C$4:$Q$544,15,0)</f>
        <v>0</v>
      </c>
      <c r="J325">
        <f>VLOOKUP(B325,'MASTER DATA SLT'!$C$4:$R$544,16,0)</f>
        <v>0</v>
      </c>
      <c r="K325">
        <f>VLOOKUP(B325,'MASTER DATA SLT'!$C$4:$S$544,17,0)</f>
        <v>0</v>
      </c>
      <c r="N325" t="str">
        <f>VLOOKUP(B325,'SALARY DETALES'!$B$2:$C$475,2,0)</f>
        <v>Section B #1</v>
      </c>
      <c r="O325" t="str">
        <f>VLOOKUP(B325,'SALARY DETALES'!$B$2:$D$475,3,0)</f>
        <v>OT</v>
      </c>
      <c r="Q325" t="str">
        <f>VLOOKUP(B325,'MASTER DATA SLT'!$C$4:$F$544,4,0)</f>
        <v>2022-01-26</v>
      </c>
      <c r="R325">
        <f>VLOOKUP(B325,'MASTER DATA SLT'!$C$4:$G$544,5,0)</f>
        <v>0</v>
      </c>
      <c r="U325">
        <f>VLOOKUP(B325,'SALARY DETALES'!$B$2:$S$475,18,0)</f>
        <v>25000</v>
      </c>
    </row>
    <row r="326" spans="1:21" x14ac:dyDescent="0.3">
      <c r="A326">
        <v>325</v>
      </c>
      <c r="B326">
        <v>29131</v>
      </c>
      <c r="C326" t="s">
        <v>382</v>
      </c>
      <c r="D326" t="s">
        <v>1874</v>
      </c>
      <c r="E326" t="str">
        <f>VLOOKUP(B326,'MASTER DATA SLT'!$C$4:$H$544,6,0)</f>
        <v>BUS</v>
      </c>
      <c r="F326" t="str">
        <f>VLOOKUP(B326,'MASTER DATA SLT'!$C$4:$F$544,4,0)</f>
        <v>2024-08-17</v>
      </c>
      <c r="G326" t="str">
        <f>VLOOKUP(B326,'MASTER DATA SLT'!$C$4:$P$544,14,0)</f>
        <v>7123-3227282-</v>
      </c>
      <c r="I326" t="str">
        <f>VLOOKUP(B326,'MASTER DATA SLT'!$C$4:$Q$544,15,0)</f>
        <v>0318-5643050</v>
      </c>
      <c r="J326">
        <f>VLOOKUP(B326,'MASTER DATA SLT'!$C$4:$R$544,16,0)</f>
        <v>0</v>
      </c>
      <c r="K326">
        <f>VLOOKUP(B326,'MASTER DATA SLT'!$C$4:$S$544,17,0)</f>
        <v>0</v>
      </c>
      <c r="N326" t="str">
        <f>VLOOKUP(B326,'SALARY DETALES'!$B$2:$C$475,2,0)</f>
        <v>Section B #1</v>
      </c>
      <c r="O326" t="str">
        <f>VLOOKUP(B326,'SALARY DETALES'!$B$2:$D$475,3,0)</f>
        <v>OT</v>
      </c>
      <c r="Q326" t="str">
        <f>VLOOKUP(B326,'MASTER DATA SLT'!$C$4:$F$544,4,0)</f>
        <v>2024-08-17</v>
      </c>
      <c r="R326">
        <f>VLOOKUP(B326,'MASTER DATA SLT'!$C$4:$G$544,5,0)</f>
        <v>0</v>
      </c>
      <c r="U326">
        <f>VLOOKUP(B326,'SALARY DETALES'!$B$2:$S$475,18,0)</f>
        <v>25000</v>
      </c>
    </row>
    <row r="327" spans="1:21" x14ac:dyDescent="0.3">
      <c r="A327">
        <v>326</v>
      </c>
      <c r="B327">
        <v>28100</v>
      </c>
      <c r="C327" t="s">
        <v>534</v>
      </c>
      <c r="D327" t="s">
        <v>2137</v>
      </c>
      <c r="E327" t="str">
        <f>VLOOKUP(B327,'MASTER DATA SLT'!$C$4:$H$544,6,0)</f>
        <v>BUS</v>
      </c>
      <c r="F327" t="str">
        <f>VLOOKUP(B327,'MASTER DATA SLT'!$C$4:$F$544,4,0)</f>
        <v>2025-04-02</v>
      </c>
      <c r="G327">
        <f>VLOOKUP(B327,'MASTER DATA SLT'!$C$4:$P$544,14,0)</f>
        <v>412027581635</v>
      </c>
      <c r="I327" t="str">
        <f>VLOOKUP(B327,'MASTER DATA SLT'!$C$4:$Q$544,15,0)</f>
        <v>03193069045</v>
      </c>
      <c r="J327">
        <f>VLOOKUP(B327,'MASTER DATA SLT'!$C$4:$R$544,16,0)</f>
        <v>0</v>
      </c>
      <c r="K327">
        <f>VLOOKUP(B327,'MASTER DATA SLT'!$C$4:$S$544,17,0)</f>
        <v>0</v>
      </c>
      <c r="N327" t="str">
        <f>VLOOKUP(B327,'SALARY DETALES'!$B$2:$C$475,2,0)</f>
        <v>Section B #1</v>
      </c>
      <c r="O327" t="str">
        <f>VLOOKUP(B327,'SALARY DETALES'!$B$2:$D$475,3,0)</f>
        <v>BST</v>
      </c>
      <c r="Q327" t="str">
        <f>VLOOKUP(B327,'MASTER DATA SLT'!$C$4:$F$544,4,0)</f>
        <v>2025-04-02</v>
      </c>
      <c r="R327">
        <f>VLOOKUP(B327,'MASTER DATA SLT'!$C$4:$G$544,5,0)</f>
        <v>0</v>
      </c>
      <c r="U327">
        <f>VLOOKUP(B327,'SALARY DETALES'!$B$2:$S$475,18,0)</f>
        <v>16000</v>
      </c>
    </row>
    <row r="328" spans="1:21" x14ac:dyDescent="0.3">
      <c r="A328">
        <v>327</v>
      </c>
      <c r="B328">
        <v>27099</v>
      </c>
      <c r="C328" t="s">
        <v>2060</v>
      </c>
      <c r="D328" t="s">
        <v>1863</v>
      </c>
      <c r="E328" t="str">
        <f>VLOOKUP(B328,'MASTER DATA SLT'!$C$4:$H$544,6,0)</f>
        <v>BUS</v>
      </c>
      <c r="F328" t="str">
        <f>VLOOKUP(B328,'MASTER DATA SLT'!$C$4:$F$544,4,0)</f>
        <v>0000-00-00</v>
      </c>
      <c r="G328" t="str">
        <f>VLOOKUP(B328,'MASTER DATA SLT'!$C$4:$P$544,14,0)</f>
        <v>71203-0174167</v>
      </c>
      <c r="I328">
        <f>VLOOKUP(B328,'MASTER DATA SLT'!$C$4:$Q$544,15,0)</f>
        <v>0</v>
      </c>
      <c r="J328">
        <f>VLOOKUP(B328,'MASTER DATA SLT'!$C$4:$R$544,16,0)</f>
        <v>0</v>
      </c>
      <c r="K328">
        <f>VLOOKUP(B328,'MASTER DATA SLT'!$C$4:$S$544,17,0)</f>
        <v>0</v>
      </c>
      <c r="N328" t="str">
        <f>VLOOKUP(B328,'SALARY DETALES'!$B$2:$C$475,2,0)</f>
        <v>Section B #1</v>
      </c>
      <c r="O328" t="str">
        <f>VLOOKUP(B328,'SALARY DETALES'!$B$2:$D$475,3,0)</f>
        <v>OT</v>
      </c>
      <c r="Q328" t="str">
        <f>VLOOKUP(B328,'MASTER DATA SLT'!$C$4:$F$544,4,0)</f>
        <v>0000-00-00</v>
      </c>
      <c r="R328">
        <f>VLOOKUP(B328,'MASTER DATA SLT'!$C$4:$G$544,5,0)</f>
        <v>0</v>
      </c>
      <c r="U328">
        <f>VLOOKUP(B328,'SALARY DETALES'!$B$2:$S$475,18,0)</f>
        <v>25000</v>
      </c>
    </row>
    <row r="329" spans="1:21" x14ac:dyDescent="0.3">
      <c r="A329">
        <v>328</v>
      </c>
      <c r="B329">
        <v>32128</v>
      </c>
      <c r="C329" t="s">
        <v>2061</v>
      </c>
      <c r="D329" t="s">
        <v>1846</v>
      </c>
      <c r="E329" t="str">
        <f>VLOOKUP(B329,'MASTER DATA SLT'!$C$4:$H$544,6,0)</f>
        <v>BUS</v>
      </c>
      <c r="F329" t="str">
        <f>VLOOKUP(B329,'MASTER DATA SLT'!$C$4:$F$544,4,0)</f>
        <v>2023-07-16</v>
      </c>
      <c r="G329">
        <f>VLOOKUP(B329,'MASTER DATA SLT'!$C$4:$P$544,14,0)</f>
        <v>0</v>
      </c>
      <c r="I329">
        <f>VLOOKUP(B329,'MASTER DATA SLT'!$C$4:$Q$544,15,0)</f>
        <v>0</v>
      </c>
      <c r="J329">
        <f>VLOOKUP(B329,'MASTER DATA SLT'!$C$4:$R$544,16,0)</f>
        <v>0</v>
      </c>
      <c r="K329">
        <f>VLOOKUP(B329,'MASTER DATA SLT'!$C$4:$S$544,17,0)</f>
        <v>0</v>
      </c>
      <c r="N329" t="str">
        <f>VLOOKUP(B329,'SALARY DETALES'!$B$2:$C$475,2,0)</f>
        <v>Section B #1</v>
      </c>
      <c r="O329" t="str">
        <f>VLOOKUP(B329,'SALARY DETALES'!$B$2:$D$475,3,0)</f>
        <v>BW</v>
      </c>
      <c r="Q329" t="str">
        <f>VLOOKUP(B329,'MASTER DATA SLT'!$C$4:$F$544,4,0)</f>
        <v>2023-07-16</v>
      </c>
      <c r="R329">
        <f>VLOOKUP(B329,'MASTER DATA SLT'!$C$4:$G$544,5,0)</f>
        <v>0</v>
      </c>
      <c r="U329">
        <f>VLOOKUP(B329,'SALARY DETALES'!$B$2:$S$475,18,0)</f>
        <v>17600</v>
      </c>
    </row>
    <row r="330" spans="1:21" x14ac:dyDescent="0.3">
      <c r="A330">
        <v>329</v>
      </c>
      <c r="B330">
        <v>28144</v>
      </c>
      <c r="C330" t="s">
        <v>1756</v>
      </c>
      <c r="D330" t="s">
        <v>1894</v>
      </c>
      <c r="E330" t="str">
        <f>VLOOKUP(B330,'MASTER DATA SLT'!$C$4:$H$544,6,0)</f>
        <v>BUS</v>
      </c>
      <c r="F330" t="str">
        <f>VLOOKUP(B330,'MASTER DATA SLT'!$C$4:$F$544,4,0)</f>
        <v>2024-02-01</v>
      </c>
      <c r="G330">
        <f>VLOOKUP(B330,'MASTER DATA SLT'!$C$4:$P$544,14,0)</f>
        <v>0</v>
      </c>
      <c r="I330">
        <f>VLOOKUP(B330,'MASTER DATA SLT'!$C$4:$Q$544,15,0)</f>
        <v>0</v>
      </c>
      <c r="J330">
        <f>VLOOKUP(B330,'MASTER DATA SLT'!$C$4:$R$544,16,0)</f>
        <v>0</v>
      </c>
      <c r="K330">
        <f>VLOOKUP(B330,'MASTER DATA SLT'!$C$4:$S$544,17,0)</f>
        <v>0</v>
      </c>
      <c r="N330" t="str">
        <f>VLOOKUP(B330,'SALARY DETALES'!$B$2:$C$475,2,0)</f>
        <v>Section B #1</v>
      </c>
      <c r="O330" t="str">
        <f>VLOOKUP(B330,'SALARY DETALES'!$B$2:$D$475,3,0)</f>
        <v>BW</v>
      </c>
      <c r="Q330" t="str">
        <f>VLOOKUP(B330,'MASTER DATA SLT'!$C$4:$F$544,4,0)</f>
        <v>2024-02-01</v>
      </c>
      <c r="R330">
        <f>VLOOKUP(B330,'MASTER DATA SLT'!$C$4:$G$544,5,0)</f>
        <v>0</v>
      </c>
      <c r="U330">
        <f>VLOOKUP(B330,'SALARY DETALES'!$B$2:$S$475,18,0)</f>
        <v>23100</v>
      </c>
    </row>
    <row r="331" spans="1:21" x14ac:dyDescent="0.3">
      <c r="A331">
        <v>330</v>
      </c>
      <c r="B331">
        <v>28153</v>
      </c>
      <c r="C331" t="s">
        <v>2062</v>
      </c>
      <c r="D331" t="s">
        <v>2063</v>
      </c>
      <c r="E331" t="str">
        <f>VLOOKUP(B331,'MASTER DATA SLT'!$C$4:$H$544,6,0)</f>
        <v>BUS</v>
      </c>
      <c r="F331" t="str">
        <f>VLOOKUP(B331,'MASTER DATA SLT'!$C$4:$F$544,4,0)</f>
        <v>2024-07-01</v>
      </c>
      <c r="G331" t="str">
        <f>VLOOKUP(B331,'MASTER DATA SLT'!$C$4:$P$544,14,0)</f>
        <v>71207-9366391</v>
      </c>
      <c r="I331" t="str">
        <f>VLOOKUP(B331,'MASTER DATA SLT'!$C$4:$Q$544,15,0)</f>
        <v>0318-2631272</v>
      </c>
      <c r="J331">
        <f>VLOOKUP(B331,'MASTER DATA SLT'!$C$4:$R$544,16,0)</f>
        <v>0</v>
      </c>
      <c r="K331">
        <f>VLOOKUP(B331,'MASTER DATA SLT'!$C$4:$S$544,17,0)</f>
        <v>0</v>
      </c>
      <c r="N331" t="str">
        <f>VLOOKUP(B331,'SALARY DETALES'!$B$2:$C$475,2,0)</f>
        <v>Section B #1</v>
      </c>
      <c r="O331" t="str">
        <f>VLOOKUP(B331,'SALARY DETALES'!$B$2:$D$475,3,0)</f>
        <v>BW/B</v>
      </c>
      <c r="Q331" t="str">
        <f>VLOOKUP(B331,'MASTER DATA SLT'!$C$4:$F$544,4,0)</f>
        <v>2024-07-01</v>
      </c>
      <c r="R331">
        <f>VLOOKUP(B331,'MASTER DATA SLT'!$C$4:$G$544,5,0)</f>
        <v>0</v>
      </c>
      <c r="U331">
        <f>VLOOKUP(B331,'SALARY DETALES'!$B$2:$S$475,18,0)</f>
        <v>25000</v>
      </c>
    </row>
    <row r="332" spans="1:21" x14ac:dyDescent="0.3">
      <c r="A332">
        <v>331</v>
      </c>
      <c r="B332">
        <v>28154</v>
      </c>
      <c r="C332" t="s">
        <v>2064</v>
      </c>
      <c r="D332" t="s">
        <v>2065</v>
      </c>
      <c r="E332" t="str">
        <f>VLOOKUP(B332,'MASTER DATA SLT'!$C$4:$H$544,6,0)</f>
        <v>BUS</v>
      </c>
      <c r="F332" t="str">
        <f>VLOOKUP(B332,'MASTER DATA SLT'!$C$4:$F$544,4,0)</f>
        <v>2024-07-01</v>
      </c>
      <c r="G332" t="str">
        <f>VLOOKUP(B332,'MASTER DATA SLT'!$C$4:$P$544,14,0)</f>
        <v>71202-7914715</v>
      </c>
      <c r="I332" t="str">
        <f>VLOOKUP(B332,'MASTER DATA SLT'!$C$4:$Q$544,15,0)</f>
        <v>03554990662</v>
      </c>
      <c r="J332">
        <f>VLOOKUP(B332,'MASTER DATA SLT'!$C$4:$R$544,16,0)</f>
        <v>0</v>
      </c>
      <c r="K332">
        <f>VLOOKUP(B332,'MASTER DATA SLT'!$C$4:$S$544,17,0)</f>
        <v>0</v>
      </c>
      <c r="N332" t="str">
        <f>VLOOKUP(B332,'SALARY DETALES'!$B$2:$C$475,2,0)</f>
        <v>Section B #1</v>
      </c>
      <c r="O332" t="str">
        <f>VLOOKUP(B332,'SALARY DETALES'!$B$2:$D$475,3,0)</f>
        <v>BW/B</v>
      </c>
      <c r="Q332" t="str">
        <f>VLOOKUP(B332,'MASTER DATA SLT'!$C$4:$F$544,4,0)</f>
        <v>2024-07-01</v>
      </c>
      <c r="R332">
        <f>VLOOKUP(B332,'MASTER DATA SLT'!$C$4:$G$544,5,0)</f>
        <v>0</v>
      </c>
      <c r="U332">
        <f>VLOOKUP(B332,'SALARY DETALES'!$B$2:$S$475,18,0)</f>
        <v>20000</v>
      </c>
    </row>
    <row r="333" spans="1:21" x14ac:dyDescent="0.3">
      <c r="A333">
        <v>332</v>
      </c>
      <c r="B333">
        <v>28158</v>
      </c>
      <c r="C333" t="s">
        <v>2066</v>
      </c>
      <c r="D333" t="s">
        <v>1854</v>
      </c>
      <c r="E333" t="str">
        <f>VLOOKUP(B333,'MASTER DATA SLT'!$C$4:$H$544,6,0)</f>
        <v>BUS</v>
      </c>
      <c r="F333" t="str">
        <f>VLOOKUP(B333,'MASTER DATA SLT'!$C$4:$F$544,4,0)</f>
        <v>2024-11-18</v>
      </c>
      <c r="G333" t="str">
        <f>VLOOKUP(B333,'MASTER DATA SLT'!$C$4:$P$544,14,0)</f>
        <v>13503-5210626</v>
      </c>
      <c r="I333" t="str">
        <f>VLOOKUP(B333,'MASTER DATA SLT'!$C$4:$Q$544,15,0)</f>
        <v>0349-2618691</v>
      </c>
      <c r="J333">
        <f>VLOOKUP(B333,'MASTER DATA SLT'!$C$4:$R$544,16,0)</f>
        <v>0</v>
      </c>
      <c r="K333">
        <f>VLOOKUP(B333,'MASTER DATA SLT'!$C$4:$S$544,17,0)</f>
        <v>0</v>
      </c>
      <c r="N333" t="str">
        <f>VLOOKUP(B333,'SALARY DETALES'!$B$2:$C$475,2,0)</f>
        <v>Section B #1</v>
      </c>
      <c r="O333" t="str">
        <f>VLOOKUP(B333,'SALARY DETALES'!$B$2:$D$475,3,0)</f>
        <v>BW/B</v>
      </c>
      <c r="Q333" t="str">
        <f>VLOOKUP(B333,'MASTER DATA SLT'!$C$4:$F$544,4,0)</f>
        <v>2024-11-18</v>
      </c>
      <c r="R333">
        <f>VLOOKUP(B333,'MASTER DATA SLT'!$C$4:$G$544,5,0)</f>
        <v>0</v>
      </c>
      <c r="U333">
        <f>VLOOKUP(B333,'SALARY DETALES'!$B$2:$S$475,18,0)</f>
        <v>20000</v>
      </c>
    </row>
    <row r="334" spans="1:21" x14ac:dyDescent="0.3">
      <c r="A334">
        <v>333</v>
      </c>
      <c r="B334">
        <v>80486</v>
      </c>
      <c r="C334" t="s">
        <v>2067</v>
      </c>
      <c r="D334" t="s">
        <v>1863</v>
      </c>
      <c r="E334" t="str">
        <f>VLOOKUP(B334,'MASTER DATA SLT'!$C$4:$H$544,6,0)</f>
        <v>BUS</v>
      </c>
      <c r="F334" t="str">
        <f>VLOOKUP(B334,'MASTER DATA SLT'!$C$4:$F$544,4,0)</f>
        <v>2024-11-08</v>
      </c>
      <c r="G334" t="str">
        <f>VLOOKUP(B334,'MASTER DATA SLT'!$C$4:$P$544,14,0)</f>
        <v>71202-1206203</v>
      </c>
      <c r="I334" t="str">
        <f>VLOOKUP(B334,'MASTER DATA SLT'!$C$4:$Q$544,15,0)</f>
        <v>03555171444</v>
      </c>
      <c r="J334">
        <f>VLOOKUP(B334,'MASTER DATA SLT'!$C$4:$R$544,16,0)</f>
        <v>0</v>
      </c>
      <c r="K334">
        <f>VLOOKUP(B334,'MASTER DATA SLT'!$C$4:$S$544,17,0)</f>
        <v>0</v>
      </c>
      <c r="N334" t="str">
        <f>VLOOKUP(B334,'SALARY DETALES'!$B$2:$C$475,2,0)</f>
        <v>Section B #1</v>
      </c>
      <c r="O334" t="str">
        <f>VLOOKUP(B334,'SALARY DETALES'!$B$2:$D$475,3,0)</f>
        <v>BST</v>
      </c>
      <c r="Q334" t="str">
        <f>VLOOKUP(B334,'MASTER DATA SLT'!$C$4:$F$544,4,0)</f>
        <v>2024-11-08</v>
      </c>
      <c r="R334">
        <f>VLOOKUP(B334,'MASTER DATA SLT'!$C$4:$G$544,5,0)</f>
        <v>0</v>
      </c>
      <c r="U334">
        <f>VLOOKUP(B334,'SALARY DETALES'!$B$2:$S$475,18,0)</f>
        <v>16000</v>
      </c>
    </row>
    <row r="335" spans="1:21" x14ac:dyDescent="0.3">
      <c r="A335">
        <v>334</v>
      </c>
      <c r="B335">
        <v>80512</v>
      </c>
      <c r="C335" t="s">
        <v>2068</v>
      </c>
      <c r="D335" t="s">
        <v>1874</v>
      </c>
      <c r="E335" t="str">
        <f>VLOOKUP(B335,'MASTER DATA SLT'!$C$4:$H$544,6,0)</f>
        <v>BUS</v>
      </c>
      <c r="F335" t="str">
        <f>VLOOKUP(B335,'MASTER DATA SLT'!$C$4:$F$544,4,0)</f>
        <v>2024-11-18</v>
      </c>
      <c r="G335" t="str">
        <f>VLOOKUP(B335,'MASTER DATA SLT'!$C$4:$P$544,14,0)</f>
        <v>71601-0584968</v>
      </c>
      <c r="I335" t="str">
        <f>VLOOKUP(B335,'MASTER DATA SLT'!$C$4:$Q$544,15,0)</f>
        <v>03554773120</v>
      </c>
      <c r="J335">
        <f>VLOOKUP(B335,'MASTER DATA SLT'!$C$4:$R$544,16,0)</f>
        <v>0</v>
      </c>
      <c r="K335">
        <f>VLOOKUP(B335,'MASTER DATA SLT'!$C$4:$S$544,17,0)</f>
        <v>0</v>
      </c>
      <c r="N335" t="str">
        <f>VLOOKUP(B335,'SALARY DETALES'!$B$2:$C$475,2,0)</f>
        <v>Section B #1</v>
      </c>
      <c r="O335" t="str">
        <f>VLOOKUP(B335,'SALARY DETALES'!$B$2:$D$475,3,0)</f>
        <v>BW/B</v>
      </c>
      <c r="Q335" t="str">
        <f>VLOOKUP(B335,'MASTER DATA SLT'!$C$4:$F$544,4,0)</f>
        <v>2024-11-18</v>
      </c>
      <c r="R335">
        <f>VLOOKUP(B335,'MASTER DATA SLT'!$C$4:$G$544,5,0)</f>
        <v>0</v>
      </c>
      <c r="U335">
        <f>VLOOKUP(B335,'SALARY DETALES'!$B$2:$S$475,18,0)</f>
        <v>16000</v>
      </c>
    </row>
    <row r="336" spans="1:21" x14ac:dyDescent="0.3">
      <c r="A336">
        <v>335</v>
      </c>
      <c r="B336">
        <v>80559</v>
      </c>
      <c r="C336" t="s">
        <v>2069</v>
      </c>
      <c r="D336" t="s">
        <v>2147</v>
      </c>
      <c r="E336" t="str">
        <f>VLOOKUP(B336,'MASTER DATA SLT'!$C$4:$H$544,6,0)</f>
        <v>BUS</v>
      </c>
      <c r="F336" t="str">
        <f>VLOOKUP(B336,'MASTER DATA SLT'!$C$4:$F$544,4,0)</f>
        <v>2024-12-18</v>
      </c>
      <c r="G336" t="str">
        <f>VLOOKUP(B336,'MASTER DATA SLT'!$C$4:$P$544,14,0)</f>
        <v>71602-0345898</v>
      </c>
      <c r="I336" t="str">
        <f>VLOOKUP(B336,'MASTER DATA SLT'!$C$4:$Q$544,15,0)</f>
        <v>0355-4406266</v>
      </c>
      <c r="J336">
        <f>VLOOKUP(B336,'MASTER DATA SLT'!$C$4:$R$544,16,0)</f>
        <v>0</v>
      </c>
      <c r="K336">
        <f>VLOOKUP(B336,'MASTER DATA SLT'!$C$4:$S$544,17,0)</f>
        <v>0</v>
      </c>
      <c r="N336" t="str">
        <f>VLOOKUP(B336,'SALARY DETALES'!$B$2:$C$475,2,0)</f>
        <v>Section B #1</v>
      </c>
      <c r="O336" t="str">
        <f>VLOOKUP(B336,'SALARY DETALES'!$B$2:$D$475,3,0)</f>
        <v>B/W</v>
      </c>
      <c r="Q336" t="str">
        <f>VLOOKUP(B336,'MASTER DATA SLT'!$C$4:$F$544,4,0)</f>
        <v>2024-12-18</v>
      </c>
      <c r="R336">
        <f>VLOOKUP(B336,'MASTER DATA SLT'!$C$4:$G$544,5,0)</f>
        <v>0</v>
      </c>
      <c r="U336">
        <f>VLOOKUP(B336,'SALARY DETALES'!$B$2:$S$475,18,0)</f>
        <v>16000</v>
      </c>
    </row>
    <row r="337" spans="1:21" x14ac:dyDescent="0.3">
      <c r="A337">
        <v>336</v>
      </c>
      <c r="B337">
        <v>80560</v>
      </c>
      <c r="C337" t="s">
        <v>2070</v>
      </c>
      <c r="D337" t="s">
        <v>1883</v>
      </c>
      <c r="E337" t="str">
        <f>VLOOKUP(B337,'MASTER DATA SLT'!$C$4:$H$544,6,0)</f>
        <v>BUS</v>
      </c>
      <c r="F337" t="str">
        <f>VLOOKUP(B337,'MASTER DATA SLT'!$C$4:$F$544,4,0)</f>
        <v>2024-12-28</v>
      </c>
      <c r="G337" t="str">
        <f>VLOOKUP(B337,'MASTER DATA SLT'!$C$4:$P$544,14,0)</f>
        <v>71202-9631031</v>
      </c>
      <c r="I337" t="str">
        <f>VLOOKUP(B337,'MASTER DATA SLT'!$C$4:$Q$544,15,0)</f>
        <v>0344-1088854</v>
      </c>
      <c r="J337">
        <f>VLOOKUP(B337,'MASTER DATA SLT'!$C$4:$R$544,16,0)</f>
        <v>0</v>
      </c>
      <c r="K337">
        <f>VLOOKUP(B337,'MASTER DATA SLT'!$C$4:$S$544,17,0)</f>
        <v>0</v>
      </c>
      <c r="N337" t="str">
        <f>VLOOKUP(B337,'SALARY DETALES'!$B$2:$C$475,2,0)</f>
        <v>Section B #1</v>
      </c>
      <c r="O337" t="str">
        <f>VLOOKUP(B337,'SALARY DETALES'!$B$2:$D$475,3,0)</f>
        <v>B/W</v>
      </c>
      <c r="Q337" t="str">
        <f>VLOOKUP(B337,'MASTER DATA SLT'!$C$4:$F$544,4,0)</f>
        <v>2024-12-28</v>
      </c>
      <c r="R337">
        <f>VLOOKUP(B337,'MASTER DATA SLT'!$C$4:$G$544,5,0)</f>
        <v>0</v>
      </c>
      <c r="U337">
        <f>VLOOKUP(B337,'SALARY DETALES'!$B$2:$S$475,18,0)</f>
        <v>16000</v>
      </c>
    </row>
    <row r="338" spans="1:21" x14ac:dyDescent="0.3">
      <c r="A338">
        <v>337</v>
      </c>
      <c r="B338">
        <v>80561</v>
      </c>
      <c r="C338" t="s">
        <v>2071</v>
      </c>
      <c r="D338" t="s">
        <v>1874</v>
      </c>
      <c r="E338" t="str">
        <f>VLOOKUP(B338,'MASTER DATA SLT'!$C$4:$H$544,6,0)</f>
        <v>BUS</v>
      </c>
      <c r="F338" t="str">
        <f>VLOOKUP(B338,'MASTER DATA SLT'!$C$4:$F$544,4,0)</f>
        <v>2024-12-27</v>
      </c>
      <c r="G338" t="str">
        <f>VLOOKUP(B338,'MASTER DATA SLT'!$C$4:$P$544,14,0)</f>
        <v>71202-9395987</v>
      </c>
      <c r="I338" t="str">
        <f>VLOOKUP(B338,'MASTER DATA SLT'!$C$4:$Q$544,15,0)</f>
        <v>0317-8823250</v>
      </c>
      <c r="J338">
        <f>VLOOKUP(B338,'MASTER DATA SLT'!$C$4:$R$544,16,0)</f>
        <v>0</v>
      </c>
      <c r="K338">
        <f>VLOOKUP(B338,'MASTER DATA SLT'!$C$4:$S$544,17,0)</f>
        <v>0</v>
      </c>
      <c r="N338" t="str">
        <f>VLOOKUP(B338,'SALARY DETALES'!$B$2:$C$475,2,0)</f>
        <v>Section B #1</v>
      </c>
      <c r="O338" t="str">
        <f>VLOOKUP(B338,'SALARY DETALES'!$B$2:$D$475,3,0)</f>
        <v>O/T</v>
      </c>
      <c r="Q338" t="str">
        <f>VLOOKUP(B338,'MASTER DATA SLT'!$C$4:$F$544,4,0)</f>
        <v>2024-12-27</v>
      </c>
      <c r="R338">
        <f>VLOOKUP(B338,'MASTER DATA SLT'!$C$4:$G$544,5,0)</f>
        <v>0</v>
      </c>
      <c r="U338">
        <f>VLOOKUP(B338,'SALARY DETALES'!$B$2:$S$475,18,0)</f>
        <v>22000</v>
      </c>
    </row>
    <row r="339" spans="1:21" x14ac:dyDescent="0.3">
      <c r="A339">
        <v>338</v>
      </c>
      <c r="B339">
        <v>80575</v>
      </c>
      <c r="C339" t="s">
        <v>547</v>
      </c>
      <c r="D339" t="s">
        <v>2137</v>
      </c>
      <c r="E339" t="str">
        <f>VLOOKUP(B339,'MASTER DATA SLT'!$C$4:$H$544,6,0)</f>
        <v>BUS</v>
      </c>
      <c r="F339" t="str">
        <f>VLOOKUP(B339,'MASTER DATA SLT'!$C$4:$F$544,4,0)</f>
        <v>0000-00-00</v>
      </c>
      <c r="G339" t="str">
        <f>VLOOKUP(B339,'MASTER DATA SLT'!$C$4:$P$544,14,0)</f>
        <v>71202-4340572</v>
      </c>
      <c r="I339" t="str">
        <f>VLOOKUP(B339,'MASTER DATA SLT'!$C$4:$Q$544,15,0)</f>
        <v>03182554836</v>
      </c>
      <c r="J339">
        <f>VLOOKUP(B339,'MASTER DATA SLT'!$C$4:$R$544,16,0)</f>
        <v>0</v>
      </c>
      <c r="K339">
        <f>VLOOKUP(B339,'MASTER DATA SLT'!$C$4:$S$544,17,0)</f>
        <v>0</v>
      </c>
      <c r="N339" t="str">
        <f>VLOOKUP(B339,'SALARY DETALES'!$B$2:$C$475,2,0)</f>
        <v>Section B #1</v>
      </c>
      <c r="O339" t="str">
        <f>VLOOKUP(B339,'SALARY DETALES'!$B$2:$D$475,3,0)</f>
        <v>BW/B</v>
      </c>
      <c r="Q339" t="str">
        <f>VLOOKUP(B339,'MASTER DATA SLT'!$C$4:$F$544,4,0)</f>
        <v>0000-00-00</v>
      </c>
      <c r="R339">
        <f>VLOOKUP(B339,'MASTER DATA SLT'!$C$4:$G$544,5,0)</f>
        <v>0</v>
      </c>
      <c r="U339">
        <f>VLOOKUP(B339,'SALARY DETALES'!$B$2:$S$475,18,0)</f>
        <v>16000</v>
      </c>
    </row>
    <row r="340" spans="1:21" x14ac:dyDescent="0.3">
      <c r="A340">
        <v>339</v>
      </c>
      <c r="B340">
        <v>80719</v>
      </c>
      <c r="C340" t="s">
        <v>548</v>
      </c>
      <c r="D340" t="s">
        <v>2137</v>
      </c>
      <c r="E340" t="str">
        <f>VLOOKUP(B340,'MASTER DATA SLT'!$C$4:$H$544,6,0)</f>
        <v>BUS</v>
      </c>
      <c r="F340" t="str">
        <f>VLOOKUP(B340,'MASTER DATA SLT'!$C$4:$F$544,4,0)</f>
        <v>2025-03-18</v>
      </c>
      <c r="G340" t="str">
        <f>VLOOKUP(B340,'MASTER DATA SLT'!$C$4:$P$544,14,0)</f>
        <v>71601-0615288</v>
      </c>
      <c r="I340" t="str">
        <f>VLOOKUP(B340,'MASTER DATA SLT'!$C$4:$Q$544,15,0)</f>
        <v>0312-9709276</v>
      </c>
      <c r="J340">
        <f>VLOOKUP(B340,'MASTER DATA SLT'!$C$4:$R$544,16,0)</f>
        <v>0</v>
      </c>
      <c r="K340">
        <f>VLOOKUP(B340,'MASTER DATA SLT'!$C$4:$S$544,17,0)</f>
        <v>0</v>
      </c>
      <c r="N340" t="str">
        <f>VLOOKUP(B340,'SALARY DETALES'!$B$2:$C$475,2,0)</f>
        <v>Section B #1</v>
      </c>
      <c r="O340">
        <f>VLOOKUP(B340,'SALARY DETALES'!$B$2:$D$475,3,0)</f>
        <v>0</v>
      </c>
      <c r="Q340" t="str">
        <f>VLOOKUP(B340,'MASTER DATA SLT'!$C$4:$F$544,4,0)</f>
        <v>2025-03-18</v>
      </c>
      <c r="R340">
        <f>VLOOKUP(B340,'MASTER DATA SLT'!$C$4:$G$544,5,0)</f>
        <v>0</v>
      </c>
      <c r="U340">
        <f>VLOOKUP(B340,'SALARY DETALES'!$B$2:$S$475,18,0)</f>
        <v>24000</v>
      </c>
    </row>
    <row r="341" spans="1:21" x14ac:dyDescent="0.3">
      <c r="A341">
        <v>340</v>
      </c>
      <c r="B341">
        <v>80753</v>
      </c>
      <c r="C341" t="s">
        <v>549</v>
      </c>
      <c r="D341" t="s">
        <v>2137</v>
      </c>
      <c r="E341" t="str">
        <f>VLOOKUP(B341,'MASTER DATA SLT'!$C$4:$H$544,6,0)</f>
        <v>BUS</v>
      </c>
      <c r="F341" t="str">
        <f>VLOOKUP(B341,'MASTER DATA SLT'!$C$4:$F$544,4,0)</f>
        <v>2025-04-01</v>
      </c>
      <c r="G341" t="str">
        <f>VLOOKUP(B341,'MASTER DATA SLT'!$C$4:$P$544,14,0)</f>
        <v>71601-0597822</v>
      </c>
      <c r="I341" t="str">
        <f>VLOOKUP(B341,'MASTER DATA SLT'!$C$4:$Q$544,15,0)</f>
        <v>03703334414</v>
      </c>
      <c r="J341" t="str">
        <f>VLOOKUP(B341,'MASTER DATA SLT'!$C$4:$R$544,16,0)</f>
        <v>03458032243</v>
      </c>
      <c r="K341">
        <f>VLOOKUP(B341,'MASTER DATA SLT'!$C$4:$S$544,17,0)</f>
        <v>0</v>
      </c>
      <c r="N341" t="str">
        <f>VLOOKUP(B341,'SALARY DETALES'!$B$2:$C$475,2,0)</f>
        <v>Section B #1</v>
      </c>
      <c r="O341" t="str">
        <f>VLOOKUP(B341,'SALARY DETALES'!$B$2:$D$475,3,0)</f>
        <v>B/W</v>
      </c>
      <c r="Q341" t="str">
        <f>VLOOKUP(B341,'MASTER DATA SLT'!$C$4:$F$544,4,0)</f>
        <v>2025-04-01</v>
      </c>
      <c r="R341">
        <f>VLOOKUP(B341,'MASTER DATA SLT'!$C$4:$G$544,5,0)</f>
        <v>0</v>
      </c>
      <c r="U341">
        <f>VLOOKUP(B341,'SALARY DETALES'!$B$2:$S$475,18,0)</f>
        <v>16000</v>
      </c>
    </row>
    <row r="342" spans="1:21" x14ac:dyDescent="0.3">
      <c r="A342">
        <v>341</v>
      </c>
      <c r="B342">
        <v>80758</v>
      </c>
      <c r="C342" t="s">
        <v>2072</v>
      </c>
      <c r="D342" t="s">
        <v>1846</v>
      </c>
      <c r="E342" t="str">
        <f>VLOOKUP(B342,'MASTER DATA SLT'!$C$4:$H$544,6,0)</f>
        <v>BUS</v>
      </c>
      <c r="F342" t="str">
        <f>VLOOKUP(B342,'MASTER DATA SLT'!$C$4:$F$544,4,0)</f>
        <v>2025-04-04</v>
      </c>
      <c r="G342" t="str">
        <f>VLOOKUP(B342,'MASTER DATA SLT'!$C$4:$P$544,14,0)</f>
        <v>71202-1847714</v>
      </c>
      <c r="I342" t="str">
        <f>VLOOKUP(B342,'MASTER DATA SLT'!$C$4:$Q$544,15,0)</f>
        <v>03555471531</v>
      </c>
      <c r="J342" t="str">
        <f>VLOOKUP(B342,'MASTER DATA SLT'!$C$4:$R$544,16,0)</f>
        <v>03119964821</v>
      </c>
      <c r="K342">
        <f>VLOOKUP(B342,'MASTER DATA SLT'!$C$4:$S$544,17,0)</f>
        <v>0</v>
      </c>
      <c r="N342" t="str">
        <f>VLOOKUP(B342,'SALARY DETALES'!$B$2:$C$475,2,0)</f>
        <v>Section B #1</v>
      </c>
      <c r="O342" t="str">
        <f>VLOOKUP(B342,'SALARY DETALES'!$B$2:$D$475,3,0)</f>
        <v>BW</v>
      </c>
      <c r="Q342" t="str">
        <f>VLOOKUP(B342,'MASTER DATA SLT'!$C$4:$F$544,4,0)</f>
        <v>2025-04-04</v>
      </c>
      <c r="R342">
        <f>VLOOKUP(B342,'MASTER DATA SLT'!$C$4:$G$544,5,0)</f>
        <v>0</v>
      </c>
      <c r="U342">
        <f>VLOOKUP(B342,'SALARY DETALES'!$B$2:$S$475,18,0)</f>
        <v>16000</v>
      </c>
    </row>
    <row r="343" spans="1:21" x14ac:dyDescent="0.3">
      <c r="A343">
        <v>342</v>
      </c>
      <c r="B343">
        <v>80581</v>
      </c>
      <c r="C343" t="s">
        <v>2073</v>
      </c>
      <c r="D343" t="s">
        <v>1912</v>
      </c>
      <c r="E343" t="str">
        <f>VLOOKUP(B343,'MASTER DATA SLT'!$C$4:$H$544,6,0)</f>
        <v>BUS</v>
      </c>
      <c r="F343" t="str">
        <f>VLOOKUP(B343,'MASTER DATA SLT'!$C$4:$F$544,4,0)</f>
        <v>2024-12-26</v>
      </c>
      <c r="G343" t="str">
        <f>VLOOKUP(B343,'MASTER DATA SLT'!$C$4:$P$544,14,0)</f>
        <v>7120-27568684</v>
      </c>
      <c r="I343" t="str">
        <f>VLOOKUP(B343,'MASTER DATA SLT'!$C$4:$Q$544,15,0)</f>
        <v>0348849017</v>
      </c>
      <c r="J343">
        <f>VLOOKUP(B343,'MASTER DATA SLT'!$C$4:$R$544,16,0)</f>
        <v>0</v>
      </c>
      <c r="K343">
        <f>VLOOKUP(B343,'MASTER DATA SLT'!$C$4:$S$544,17,0)</f>
        <v>0</v>
      </c>
      <c r="N343" t="str">
        <f>VLOOKUP(B343,'SALARY DETALES'!$B$2:$C$475,2,0)</f>
        <v>Section B #2</v>
      </c>
      <c r="O343" t="str">
        <f>VLOOKUP(B343,'SALARY DETALES'!$B$2:$D$475,3,0)</f>
        <v>O/T</v>
      </c>
      <c r="Q343" t="str">
        <f>VLOOKUP(B343,'MASTER DATA SLT'!$C$4:$F$544,4,0)</f>
        <v>2024-12-26</v>
      </c>
      <c r="R343">
        <f>VLOOKUP(B343,'MASTER DATA SLT'!$C$4:$G$544,5,0)</f>
        <v>0</v>
      </c>
      <c r="U343">
        <f>VLOOKUP(B343,'SALARY DETALES'!$B$2:$S$475,18,0)</f>
        <v>30000</v>
      </c>
    </row>
    <row r="344" spans="1:21" x14ac:dyDescent="0.3">
      <c r="A344">
        <v>343</v>
      </c>
      <c r="B344">
        <v>80619</v>
      </c>
      <c r="C344" t="s">
        <v>1959</v>
      </c>
      <c r="D344" t="s">
        <v>1883</v>
      </c>
      <c r="E344" t="str">
        <f>VLOOKUP(B344,'MASTER DATA SLT'!$C$4:$H$544,6,0)</f>
        <v>BUS</v>
      </c>
      <c r="F344" t="str">
        <f>VLOOKUP(B344,'MASTER DATA SLT'!$C$4:$F$544,4,0)</f>
        <v>2025-02-01</v>
      </c>
      <c r="G344" t="str">
        <f>VLOOKUP(B344,'MASTER DATA SLT'!$C$4:$P$544,14,0)</f>
        <v>2120-20267340</v>
      </c>
      <c r="I344" t="str">
        <f>VLOOKUP(B344,'MASTER DATA SLT'!$C$4:$Q$544,15,0)</f>
        <v>03555753214</v>
      </c>
      <c r="J344">
        <f>VLOOKUP(B344,'MASTER DATA SLT'!$C$4:$R$544,16,0)</f>
        <v>0</v>
      </c>
      <c r="K344">
        <f>VLOOKUP(B344,'MASTER DATA SLT'!$C$4:$S$544,17,0)</f>
        <v>0</v>
      </c>
      <c r="N344" t="str">
        <f>VLOOKUP(B344,'SALARY DETALES'!$B$2:$C$475,2,0)</f>
        <v>Section B #2</v>
      </c>
      <c r="O344" t="str">
        <f>VLOOKUP(B344,'SALARY DETALES'!$B$2:$D$475,3,0)</f>
        <v>BW/B</v>
      </c>
      <c r="Q344" t="str">
        <f>VLOOKUP(B344,'MASTER DATA SLT'!$C$4:$F$544,4,0)</f>
        <v>2025-02-01</v>
      </c>
      <c r="R344">
        <f>VLOOKUP(B344,'MASTER DATA SLT'!$C$4:$G$544,5,0)</f>
        <v>0</v>
      </c>
      <c r="U344">
        <f>VLOOKUP(B344,'SALARY DETALES'!$B$2:$S$475,18,0)</f>
        <v>20000</v>
      </c>
    </row>
    <row r="345" spans="1:21" x14ac:dyDescent="0.3">
      <c r="A345">
        <v>344</v>
      </c>
      <c r="B345">
        <v>80641</v>
      </c>
      <c r="C345" t="s">
        <v>2074</v>
      </c>
      <c r="D345" t="s">
        <v>1869</v>
      </c>
      <c r="E345" t="str">
        <f>VLOOKUP(B345,'MASTER DATA SLT'!$C$4:$H$544,6,0)</f>
        <v>BUS</v>
      </c>
      <c r="F345" t="str">
        <f>VLOOKUP(B345,'MASTER DATA SLT'!$C$4:$F$544,4,0)</f>
        <v>2025-02-17</v>
      </c>
      <c r="G345">
        <f>VLOOKUP(B345,'MASTER DATA SLT'!$C$4:$P$544,14,0)</f>
        <v>0</v>
      </c>
      <c r="I345">
        <f>VLOOKUP(B345,'MASTER DATA SLT'!$C$4:$Q$544,15,0)</f>
        <v>0</v>
      </c>
      <c r="J345">
        <f>VLOOKUP(B345,'MASTER DATA SLT'!$C$4:$R$544,16,0)</f>
        <v>0</v>
      </c>
      <c r="K345">
        <f>VLOOKUP(B345,'MASTER DATA SLT'!$C$4:$S$544,17,0)</f>
        <v>0</v>
      </c>
      <c r="N345" t="str">
        <f>VLOOKUP(B345,'SALARY DETALES'!$B$2:$C$475,2,0)</f>
        <v>Section B #2</v>
      </c>
      <c r="O345" t="str">
        <f>VLOOKUP(B345,'SALARY DETALES'!$B$2:$D$475,3,0)</f>
        <v>B/W</v>
      </c>
      <c r="Q345" t="str">
        <f>VLOOKUP(B345,'MASTER DATA SLT'!$C$4:$F$544,4,0)</f>
        <v>2025-02-17</v>
      </c>
      <c r="R345">
        <f>VLOOKUP(B345,'MASTER DATA SLT'!$C$4:$G$544,5,0)</f>
        <v>0</v>
      </c>
      <c r="U345">
        <f>VLOOKUP(B345,'SALARY DETALES'!$B$2:$S$475,18,0)</f>
        <v>16000</v>
      </c>
    </row>
    <row r="346" spans="1:21" x14ac:dyDescent="0.3">
      <c r="A346">
        <v>345</v>
      </c>
      <c r="B346">
        <v>80677</v>
      </c>
      <c r="C346" t="s">
        <v>555</v>
      </c>
      <c r="D346" t="s">
        <v>2137</v>
      </c>
      <c r="E346" t="str">
        <f>VLOOKUP(B346,'MASTER DATA SLT'!$C$4:$H$544,6,0)</f>
        <v>BUS</v>
      </c>
      <c r="F346" t="str">
        <f>VLOOKUP(B346,'MASTER DATA SLT'!$C$4:$F$544,4,0)</f>
        <v>2025-03-05</v>
      </c>
      <c r="G346">
        <f>VLOOKUP(B346,'MASTER DATA SLT'!$C$4:$P$544,14,0)</f>
        <v>0</v>
      </c>
      <c r="I346">
        <f>VLOOKUP(B346,'MASTER DATA SLT'!$C$4:$Q$544,15,0)</f>
        <v>0</v>
      </c>
      <c r="J346">
        <f>VLOOKUP(B346,'MASTER DATA SLT'!$C$4:$R$544,16,0)</f>
        <v>0</v>
      </c>
      <c r="K346">
        <f>VLOOKUP(B346,'MASTER DATA SLT'!$C$4:$S$544,17,0)</f>
        <v>0</v>
      </c>
      <c r="N346" t="str">
        <f>VLOOKUP(B346,'SALARY DETALES'!$B$2:$C$475,2,0)</f>
        <v>Section B #2</v>
      </c>
      <c r="O346" t="str">
        <f>VLOOKUP(B346,'SALARY DETALES'!$B$2:$D$475,3,0)</f>
        <v>O/T</v>
      </c>
      <c r="Q346" t="str">
        <f>VLOOKUP(B346,'MASTER DATA SLT'!$C$4:$F$544,4,0)</f>
        <v>2025-03-05</v>
      </c>
      <c r="R346">
        <f>VLOOKUP(B346,'MASTER DATA SLT'!$C$4:$G$544,5,0)</f>
        <v>0</v>
      </c>
      <c r="U346">
        <f>VLOOKUP(B346,'SALARY DETALES'!$B$2:$S$475,18,0)</f>
        <v>25000</v>
      </c>
    </row>
    <row r="347" spans="1:21" x14ac:dyDescent="0.3">
      <c r="A347">
        <v>346</v>
      </c>
      <c r="B347">
        <v>80678</v>
      </c>
      <c r="C347" t="s">
        <v>556</v>
      </c>
      <c r="D347" t="s">
        <v>2137</v>
      </c>
      <c r="E347" t="str">
        <f>VLOOKUP(B347,'MASTER DATA SLT'!$C$4:$H$544,6,0)</f>
        <v>BUS</v>
      </c>
      <c r="F347" t="str">
        <f>VLOOKUP(B347,'MASTER DATA SLT'!$C$4:$F$544,4,0)</f>
        <v>2025-03-07</v>
      </c>
      <c r="G347">
        <f>VLOOKUP(B347,'MASTER DATA SLT'!$C$4:$P$544,14,0)</f>
        <v>0</v>
      </c>
      <c r="I347">
        <f>VLOOKUP(B347,'MASTER DATA SLT'!$C$4:$Q$544,15,0)</f>
        <v>0</v>
      </c>
      <c r="J347">
        <f>VLOOKUP(B347,'MASTER DATA SLT'!$C$4:$R$544,16,0)</f>
        <v>0</v>
      </c>
      <c r="K347">
        <f>VLOOKUP(B347,'MASTER DATA SLT'!$C$4:$S$544,17,0)</f>
        <v>0</v>
      </c>
      <c r="N347" t="str">
        <f>VLOOKUP(B347,'SALARY DETALES'!$B$2:$C$475,2,0)</f>
        <v>Section B #2</v>
      </c>
      <c r="O347" t="str">
        <f>VLOOKUP(B347,'SALARY DETALES'!$B$2:$D$475,3,0)</f>
        <v>B/W</v>
      </c>
      <c r="Q347" t="str">
        <f>VLOOKUP(B347,'MASTER DATA SLT'!$C$4:$F$544,4,0)</f>
        <v>2025-03-07</v>
      </c>
      <c r="R347">
        <f>VLOOKUP(B347,'MASTER DATA SLT'!$C$4:$G$544,5,0)</f>
        <v>0</v>
      </c>
      <c r="U347">
        <f>VLOOKUP(B347,'SALARY DETALES'!$B$2:$S$475,18,0)</f>
        <v>16000</v>
      </c>
    </row>
    <row r="348" spans="1:21" x14ac:dyDescent="0.3">
      <c r="A348">
        <v>347</v>
      </c>
      <c r="B348">
        <v>80681</v>
      </c>
      <c r="C348" t="s">
        <v>2075</v>
      </c>
      <c r="D348" t="s">
        <v>1863</v>
      </c>
      <c r="E348" t="str">
        <f>VLOOKUP(B348,'MASTER DATA SLT'!$C$4:$H$544,6,0)</f>
        <v>BUS</v>
      </c>
      <c r="F348" t="str">
        <f>VLOOKUP(B348,'MASTER DATA SLT'!$C$4:$F$544,4,0)</f>
        <v>2025-03-01</v>
      </c>
      <c r="G348">
        <f>VLOOKUP(B348,'MASTER DATA SLT'!$C$4:$P$544,14,0)</f>
        <v>0</v>
      </c>
      <c r="I348">
        <f>VLOOKUP(B348,'MASTER DATA SLT'!$C$4:$Q$544,15,0)</f>
        <v>0</v>
      </c>
      <c r="J348">
        <f>VLOOKUP(B348,'MASTER DATA SLT'!$C$4:$R$544,16,0)</f>
        <v>0</v>
      </c>
      <c r="K348">
        <f>VLOOKUP(B348,'MASTER DATA SLT'!$C$4:$S$544,17,0)</f>
        <v>0</v>
      </c>
      <c r="N348" t="str">
        <f>VLOOKUP(B348,'SALARY DETALES'!$B$2:$C$475,2,0)</f>
        <v>Section B #2</v>
      </c>
      <c r="O348" t="str">
        <f>VLOOKUP(B348,'SALARY DETALES'!$B$2:$D$475,3,0)</f>
        <v>B/W</v>
      </c>
      <c r="Q348" t="str">
        <f>VLOOKUP(B348,'MASTER DATA SLT'!$C$4:$F$544,4,0)</f>
        <v>2025-03-01</v>
      </c>
      <c r="R348">
        <f>VLOOKUP(B348,'MASTER DATA SLT'!$C$4:$G$544,5,0)</f>
        <v>0</v>
      </c>
      <c r="U348">
        <f>VLOOKUP(B348,'SALARY DETALES'!$B$2:$S$475,18,0)</f>
        <v>16000</v>
      </c>
    </row>
    <row r="349" spans="1:21" x14ac:dyDescent="0.3">
      <c r="A349">
        <v>348</v>
      </c>
      <c r="B349">
        <v>80693</v>
      </c>
      <c r="C349" t="s">
        <v>2076</v>
      </c>
      <c r="D349" t="s">
        <v>1883</v>
      </c>
      <c r="E349" t="str">
        <f>VLOOKUP(B349,'MASTER DATA SLT'!$C$4:$H$544,6,0)</f>
        <v>BUS</v>
      </c>
      <c r="F349" t="str">
        <f>VLOOKUP(B349,'MASTER DATA SLT'!$C$4:$F$544,4,0)</f>
        <v>2025-03-12</v>
      </c>
      <c r="G349">
        <f>VLOOKUP(B349,'MASTER DATA SLT'!$C$4:$P$544,14,0)</f>
        <v>0</v>
      </c>
      <c r="I349">
        <f>VLOOKUP(B349,'MASTER DATA SLT'!$C$4:$Q$544,15,0)</f>
        <v>0</v>
      </c>
      <c r="J349">
        <f>VLOOKUP(B349,'MASTER DATA SLT'!$C$4:$R$544,16,0)</f>
        <v>0</v>
      </c>
      <c r="K349">
        <f>VLOOKUP(B349,'MASTER DATA SLT'!$C$4:$S$544,17,0)</f>
        <v>0</v>
      </c>
      <c r="N349" t="str">
        <f>VLOOKUP(B349,'SALARY DETALES'!$B$2:$C$475,2,0)</f>
        <v>Section B #2</v>
      </c>
      <c r="O349" t="str">
        <f>VLOOKUP(B349,'SALARY DETALES'!$B$2:$D$475,3,0)</f>
        <v>O/T</v>
      </c>
      <c r="Q349" t="str">
        <f>VLOOKUP(B349,'MASTER DATA SLT'!$C$4:$F$544,4,0)</f>
        <v>2025-03-12</v>
      </c>
      <c r="R349">
        <f>VLOOKUP(B349,'MASTER DATA SLT'!$C$4:$G$544,5,0)</f>
        <v>0</v>
      </c>
      <c r="U349">
        <f>VLOOKUP(B349,'SALARY DETALES'!$B$2:$S$475,18,0)</f>
        <v>25000</v>
      </c>
    </row>
    <row r="350" spans="1:21" x14ac:dyDescent="0.3">
      <c r="A350">
        <v>349</v>
      </c>
      <c r="B350">
        <v>80694</v>
      </c>
      <c r="C350" t="s">
        <v>559</v>
      </c>
      <c r="D350" t="s">
        <v>2137</v>
      </c>
      <c r="E350" t="str">
        <f>VLOOKUP(B350,'MASTER DATA SLT'!$C$4:$H$544,6,0)</f>
        <v>BUS</v>
      </c>
      <c r="F350" t="str">
        <f>VLOOKUP(B350,'MASTER DATA SLT'!$C$4:$F$544,4,0)</f>
        <v>2025-03-11</v>
      </c>
      <c r="G350">
        <f>VLOOKUP(B350,'MASTER DATA SLT'!$C$4:$P$544,14,0)</f>
        <v>0</v>
      </c>
      <c r="I350">
        <f>VLOOKUP(B350,'MASTER DATA SLT'!$C$4:$Q$544,15,0)</f>
        <v>0</v>
      </c>
      <c r="J350">
        <f>VLOOKUP(B350,'MASTER DATA SLT'!$C$4:$R$544,16,0)</f>
        <v>0</v>
      </c>
      <c r="K350">
        <f>VLOOKUP(B350,'MASTER DATA SLT'!$C$4:$S$544,17,0)</f>
        <v>0</v>
      </c>
      <c r="N350" t="str">
        <f>VLOOKUP(B350,'SALARY DETALES'!$B$2:$C$475,2,0)</f>
        <v>Section B #2</v>
      </c>
      <c r="O350" t="str">
        <f>VLOOKUP(B350,'SALARY DETALES'!$B$2:$D$475,3,0)</f>
        <v>O/T</v>
      </c>
      <c r="Q350" t="str">
        <f>VLOOKUP(B350,'MASTER DATA SLT'!$C$4:$F$544,4,0)</f>
        <v>2025-03-11</v>
      </c>
      <c r="R350">
        <f>VLOOKUP(B350,'MASTER DATA SLT'!$C$4:$G$544,5,0)</f>
        <v>0</v>
      </c>
      <c r="U350">
        <f>VLOOKUP(B350,'SALARY DETALES'!$B$2:$S$475,18,0)</f>
        <v>22000</v>
      </c>
    </row>
    <row r="351" spans="1:21" x14ac:dyDescent="0.3">
      <c r="A351">
        <v>350</v>
      </c>
      <c r="B351">
        <v>80702</v>
      </c>
      <c r="C351" t="s">
        <v>2077</v>
      </c>
      <c r="D351" t="s">
        <v>2167</v>
      </c>
      <c r="E351" t="str">
        <f>VLOOKUP(B351,'MASTER DATA SLT'!$C$4:$H$544,6,0)</f>
        <v>BUS</v>
      </c>
      <c r="F351" t="str">
        <f>VLOOKUP(B351,'MASTER DATA SLT'!$C$4:$F$544,4,0)</f>
        <v>2025-03-16</v>
      </c>
      <c r="G351">
        <f>VLOOKUP(B351,'MASTER DATA SLT'!$C$4:$P$544,14,0)</f>
        <v>0</v>
      </c>
      <c r="I351">
        <f>VLOOKUP(B351,'MASTER DATA SLT'!$C$4:$Q$544,15,0)</f>
        <v>0</v>
      </c>
      <c r="J351">
        <f>VLOOKUP(B351,'MASTER DATA SLT'!$C$4:$R$544,16,0)</f>
        <v>0</v>
      </c>
      <c r="K351">
        <f>VLOOKUP(B351,'MASTER DATA SLT'!$C$4:$S$544,17,0)</f>
        <v>0</v>
      </c>
      <c r="N351" t="str">
        <f>VLOOKUP(B351,'SALARY DETALES'!$B$2:$C$475,2,0)</f>
        <v>Section B #2</v>
      </c>
      <c r="O351" t="str">
        <f>VLOOKUP(B351,'SALARY DETALES'!$B$2:$D$475,3,0)</f>
        <v>B/W</v>
      </c>
      <c r="Q351" t="str">
        <f>VLOOKUP(B351,'MASTER DATA SLT'!$C$4:$F$544,4,0)</f>
        <v>2025-03-16</v>
      </c>
      <c r="R351">
        <f>VLOOKUP(B351,'MASTER DATA SLT'!$C$4:$G$544,5,0)</f>
        <v>0</v>
      </c>
      <c r="U351">
        <f>VLOOKUP(B351,'SALARY DETALES'!$B$2:$S$475,18,0)</f>
        <v>16000</v>
      </c>
    </row>
    <row r="352" spans="1:21" x14ac:dyDescent="0.3">
      <c r="A352">
        <v>351</v>
      </c>
      <c r="B352">
        <v>80717</v>
      </c>
      <c r="C352" t="s">
        <v>1848</v>
      </c>
      <c r="D352" t="s">
        <v>2078</v>
      </c>
      <c r="E352" t="str">
        <f>VLOOKUP(B352,'MASTER DATA SLT'!$C$4:$H$544,6,0)</f>
        <v>BUS</v>
      </c>
      <c r="F352" t="str">
        <f>VLOOKUP(B352,'MASTER DATA SLT'!$C$4:$F$544,4,0)</f>
        <v>2025-03-07</v>
      </c>
      <c r="G352" t="str">
        <f>VLOOKUP(B352,'MASTER DATA SLT'!$C$4:$P$544,14,0)</f>
        <v>71202-309058-</v>
      </c>
      <c r="I352" t="str">
        <f>VLOOKUP(B352,'MASTER DATA SLT'!$C$4:$Q$544,15,0)</f>
        <v>03255583244</v>
      </c>
      <c r="J352">
        <f>VLOOKUP(B352,'MASTER DATA SLT'!$C$4:$R$544,16,0)</f>
        <v>0</v>
      </c>
      <c r="K352">
        <f>VLOOKUP(B352,'MASTER DATA SLT'!$C$4:$S$544,17,0)</f>
        <v>0</v>
      </c>
      <c r="N352" t="str">
        <f>VLOOKUP(B352,'SALARY DETALES'!$B$2:$C$475,2,0)</f>
        <v>Section B #2</v>
      </c>
      <c r="O352" t="str">
        <f>VLOOKUP(B352,'SALARY DETALES'!$B$2:$D$475,3,0)</f>
        <v>BW/B</v>
      </c>
      <c r="Q352" t="str">
        <f>VLOOKUP(B352,'MASTER DATA SLT'!$C$4:$F$544,4,0)</f>
        <v>2025-03-07</v>
      </c>
      <c r="R352">
        <f>VLOOKUP(B352,'MASTER DATA SLT'!$C$4:$G$544,5,0)</f>
        <v>0</v>
      </c>
      <c r="U352">
        <f>VLOOKUP(B352,'SALARY DETALES'!$B$2:$S$475,18,0)</f>
        <v>16000</v>
      </c>
    </row>
    <row r="353" spans="1:21" x14ac:dyDescent="0.3">
      <c r="A353">
        <v>352</v>
      </c>
      <c r="B353">
        <v>80738</v>
      </c>
      <c r="C353" t="s">
        <v>1845</v>
      </c>
      <c r="D353" t="s">
        <v>1983</v>
      </c>
      <c r="E353" t="str">
        <f>VLOOKUP(B353,'MASTER DATA SLT'!$C$4:$H$544,6,0)</f>
        <v>BUS</v>
      </c>
      <c r="F353" t="str">
        <f>VLOOKUP(B353,'MASTER DATA SLT'!$C$4:$F$544,4,0)</f>
        <v>2025-03-28</v>
      </c>
      <c r="G353">
        <f>VLOOKUP(B353,'MASTER DATA SLT'!$C$4:$P$544,14,0)</f>
        <v>0</v>
      </c>
      <c r="I353">
        <f>VLOOKUP(B353,'MASTER DATA SLT'!$C$4:$Q$544,15,0)</f>
        <v>0</v>
      </c>
      <c r="J353">
        <f>VLOOKUP(B353,'MASTER DATA SLT'!$C$4:$R$544,16,0)</f>
        <v>0</v>
      </c>
      <c r="K353">
        <f>VLOOKUP(B353,'MASTER DATA SLT'!$C$4:$S$544,17,0)</f>
        <v>0</v>
      </c>
      <c r="N353" t="str">
        <f>VLOOKUP(B353,'SALARY DETALES'!$B$2:$C$475,2,0)</f>
        <v>Section B #2</v>
      </c>
      <c r="O353" t="str">
        <f>VLOOKUP(B353,'SALARY DETALES'!$B$2:$D$475,3,0)</f>
        <v>O/T</v>
      </c>
      <c r="Q353" t="str">
        <f>VLOOKUP(B353,'MASTER DATA SLT'!$C$4:$F$544,4,0)</f>
        <v>2025-03-28</v>
      </c>
      <c r="R353">
        <f>VLOOKUP(B353,'MASTER DATA SLT'!$C$4:$G$544,5,0)</f>
        <v>0</v>
      </c>
      <c r="U353">
        <f>VLOOKUP(B353,'SALARY DETALES'!$B$2:$S$475,18,0)</f>
        <v>24000</v>
      </c>
    </row>
    <row r="354" spans="1:21" x14ac:dyDescent="0.3">
      <c r="A354">
        <v>353</v>
      </c>
      <c r="B354">
        <v>80768</v>
      </c>
      <c r="C354" t="s">
        <v>2079</v>
      </c>
      <c r="D354" t="s">
        <v>1869</v>
      </c>
      <c r="E354" t="str">
        <f>VLOOKUP(B354,'MASTER DATA SLT'!$C$4:$H$544,6,0)</f>
        <v>BUS</v>
      </c>
      <c r="F354" t="str">
        <f>VLOOKUP(B354,'MASTER DATA SLT'!$C$4:$F$544,4,0)</f>
        <v>2025-04-15</v>
      </c>
      <c r="G354">
        <f>VLOOKUP(B354,'MASTER DATA SLT'!$C$4:$P$544,14,0)</f>
        <v>0</v>
      </c>
      <c r="I354">
        <f>VLOOKUP(B354,'MASTER DATA SLT'!$C$4:$Q$544,15,0)</f>
        <v>0</v>
      </c>
      <c r="J354">
        <f>VLOOKUP(B354,'MASTER DATA SLT'!$C$4:$R$544,16,0)</f>
        <v>0</v>
      </c>
      <c r="K354">
        <f>VLOOKUP(B354,'MASTER DATA SLT'!$C$4:$S$544,17,0)</f>
        <v>0</v>
      </c>
      <c r="N354" t="str">
        <f>VLOOKUP(B354,'SALARY DETALES'!$B$2:$C$475,2,0)</f>
        <v>Section B #2</v>
      </c>
      <c r="O354" t="str">
        <f>VLOOKUP(B354,'SALARY DETALES'!$B$2:$D$475,3,0)</f>
        <v>B/W</v>
      </c>
      <c r="Q354" t="str">
        <f>VLOOKUP(B354,'MASTER DATA SLT'!$C$4:$F$544,4,0)</f>
        <v>2025-04-15</v>
      </c>
      <c r="R354">
        <f>VLOOKUP(B354,'MASTER DATA SLT'!$C$4:$G$544,5,0)</f>
        <v>0</v>
      </c>
      <c r="U354">
        <f>VLOOKUP(B354,'SALARY DETALES'!$B$2:$S$475,18,0)</f>
        <v>16000</v>
      </c>
    </row>
    <row r="355" spans="1:21" x14ac:dyDescent="0.3">
      <c r="A355">
        <v>354</v>
      </c>
      <c r="B355">
        <v>80780</v>
      </c>
      <c r="C355" t="s">
        <v>2080</v>
      </c>
      <c r="D355" t="s">
        <v>1874</v>
      </c>
      <c r="E355" t="str">
        <f>VLOOKUP(B355,'MASTER DATA SLT'!$C$4:$H$544,6,0)</f>
        <v>BUS</v>
      </c>
      <c r="F355" t="str">
        <f>VLOOKUP(B355,'MASTER DATA SLT'!$C$4:$F$544,4,0)</f>
        <v>2025-04-20</v>
      </c>
      <c r="G355" t="str">
        <f>VLOOKUP(B355,'MASTER DATA SLT'!$C$4:$P$544,14,0)</f>
        <v>71202-6034498</v>
      </c>
      <c r="I355" t="str">
        <f>VLOOKUP(B355,'MASTER DATA SLT'!$C$4:$Q$544,15,0)</f>
        <v>03408820633</v>
      </c>
      <c r="J355">
        <f>VLOOKUP(B355,'MASTER DATA SLT'!$C$4:$R$544,16,0)</f>
        <v>0</v>
      </c>
      <c r="K355">
        <f>VLOOKUP(B355,'MASTER DATA SLT'!$C$4:$S$544,17,0)</f>
        <v>0</v>
      </c>
      <c r="N355" t="str">
        <f>VLOOKUP(B355,'SALARY DETALES'!$B$2:$C$475,2,0)</f>
        <v>Section B #2</v>
      </c>
      <c r="O355" t="str">
        <f>VLOOKUP(B355,'SALARY DETALES'!$B$2:$D$475,3,0)</f>
        <v>BW/B</v>
      </c>
      <c r="Q355" t="str">
        <f>VLOOKUP(B355,'MASTER DATA SLT'!$C$4:$F$544,4,0)</f>
        <v>2025-04-20</v>
      </c>
      <c r="R355">
        <f>VLOOKUP(B355,'MASTER DATA SLT'!$C$4:$G$544,5,0)</f>
        <v>0</v>
      </c>
      <c r="U355">
        <f>VLOOKUP(B355,'SALARY DETALES'!$B$2:$S$475,18,0)</f>
        <v>16000</v>
      </c>
    </row>
    <row r="356" spans="1:21" x14ac:dyDescent="0.3">
      <c r="A356">
        <v>355</v>
      </c>
      <c r="B356">
        <v>80781</v>
      </c>
      <c r="C356" t="s">
        <v>180</v>
      </c>
      <c r="D356" t="s">
        <v>1929</v>
      </c>
      <c r="E356" t="str">
        <f>VLOOKUP(B356,'MASTER DATA SLT'!$C$4:$H$544,6,0)</f>
        <v>BUS</v>
      </c>
      <c r="F356" t="str">
        <f>VLOOKUP(B356,'MASTER DATA SLT'!$C$4:$F$544,4,0)</f>
        <v>2025-04-15</v>
      </c>
      <c r="G356" t="str">
        <f>VLOOKUP(B356,'MASTER DATA SLT'!$C$4:$P$544,14,0)</f>
        <v>71202-5876025</v>
      </c>
      <c r="I356" t="str">
        <f>VLOOKUP(B356,'MASTER DATA SLT'!$C$4:$Q$544,15,0)</f>
        <v>03554441877</v>
      </c>
      <c r="J356" t="str">
        <f>VLOOKUP(B356,'MASTER DATA SLT'!$C$4:$R$544,16,0)</f>
        <v>03143277682</v>
      </c>
      <c r="K356">
        <f>VLOOKUP(B356,'MASTER DATA SLT'!$C$4:$S$544,17,0)</f>
        <v>0</v>
      </c>
      <c r="N356" t="str">
        <f>VLOOKUP(B356,'SALARY DETALES'!$B$2:$C$475,2,0)</f>
        <v>Section B #2</v>
      </c>
      <c r="O356" t="str">
        <f>VLOOKUP(B356,'SALARY DETALES'!$B$2:$D$475,3,0)</f>
        <v>BW/B</v>
      </c>
      <c r="Q356" t="str">
        <f>VLOOKUP(B356,'MASTER DATA SLT'!$C$4:$F$544,4,0)</f>
        <v>2025-04-15</v>
      </c>
      <c r="R356">
        <f>VLOOKUP(B356,'MASTER DATA SLT'!$C$4:$G$544,5,0)</f>
        <v>0</v>
      </c>
      <c r="U356">
        <f>VLOOKUP(B356,'SALARY DETALES'!$B$2:$S$475,18,0)</f>
        <v>18000</v>
      </c>
    </row>
    <row r="357" spans="1:21" x14ac:dyDescent="0.3">
      <c r="A357">
        <v>356</v>
      </c>
      <c r="B357">
        <v>80784</v>
      </c>
      <c r="C357" t="s">
        <v>566</v>
      </c>
      <c r="D357" t="s">
        <v>2137</v>
      </c>
      <c r="E357" t="str">
        <f>VLOOKUP(B357,'MASTER DATA SLT'!$C$4:$H$544,6,0)</f>
        <v>BUS</v>
      </c>
      <c r="F357" t="str">
        <f>VLOOKUP(B357,'MASTER DATA SLT'!$C$4:$F$544,4,0)</f>
        <v>2025-04-20</v>
      </c>
      <c r="G357">
        <f>VLOOKUP(B357,'MASTER DATA SLT'!$C$4:$P$544,14,0)</f>
        <v>0</v>
      </c>
      <c r="I357" t="str">
        <f>VLOOKUP(B357,'MASTER DATA SLT'!$C$4:$Q$544,15,0)</f>
        <v>0317-3450156</v>
      </c>
      <c r="J357">
        <f>VLOOKUP(B357,'MASTER DATA SLT'!$C$4:$R$544,16,0)</f>
        <v>0</v>
      </c>
      <c r="K357">
        <f>VLOOKUP(B357,'MASTER DATA SLT'!$C$4:$S$544,17,0)</f>
        <v>0</v>
      </c>
      <c r="N357" t="str">
        <f>VLOOKUP(B357,'SALARY DETALES'!$B$2:$C$475,2,0)</f>
        <v>Section B #2</v>
      </c>
      <c r="O357" t="str">
        <f>VLOOKUP(B357,'SALARY DETALES'!$B$2:$D$475,3,0)</f>
        <v>O/T</v>
      </c>
      <c r="Q357" t="str">
        <f>VLOOKUP(B357,'MASTER DATA SLT'!$C$4:$F$544,4,0)</f>
        <v>2025-04-20</v>
      </c>
      <c r="R357">
        <f>VLOOKUP(B357,'MASTER DATA SLT'!$C$4:$G$544,5,0)</f>
        <v>0</v>
      </c>
      <c r="U357">
        <f>VLOOKUP(B357,'SALARY DETALES'!$B$2:$S$475,18,0)</f>
        <v>25000</v>
      </c>
    </row>
    <row r="358" spans="1:21" x14ac:dyDescent="0.3">
      <c r="A358">
        <v>357</v>
      </c>
      <c r="B358">
        <v>28010</v>
      </c>
      <c r="C358" t="s">
        <v>586</v>
      </c>
      <c r="D358" t="s">
        <v>1846</v>
      </c>
      <c r="E358" t="str">
        <f>VLOOKUP(B358,'MASTER DATA SLT'!$C$4:$H$544,6,0)</f>
        <v>NO</v>
      </c>
      <c r="F358" t="str">
        <f>VLOOKUP(B358,'MASTER DATA SLT'!$C$4:$F$544,4,0)</f>
        <v>2021-12-28</v>
      </c>
      <c r="G358">
        <f>VLOOKUP(B358,'MASTER DATA SLT'!$C$4:$P$544,14,0)</f>
        <v>0</v>
      </c>
      <c r="I358">
        <f>VLOOKUP(B358,'MASTER DATA SLT'!$C$4:$Q$544,15,0)</f>
        <v>0</v>
      </c>
      <c r="J358">
        <f>VLOOKUP(B358,'MASTER DATA SLT'!$C$4:$R$544,16,0)</f>
        <v>0</v>
      </c>
      <c r="K358">
        <f>VLOOKUP(B358,'MASTER DATA SLT'!$C$4:$S$544,17,0)</f>
        <v>0</v>
      </c>
      <c r="N358" t="str">
        <f>VLOOKUP(B358,'SALARY DETALES'!$B$2:$C$475,2,0)</f>
        <v>Section D #1</v>
      </c>
      <c r="O358" t="str">
        <f>VLOOKUP(B358,'SALARY DETALES'!$B$2:$D$475,3,0)</f>
        <v>OT</v>
      </c>
      <c r="Q358" t="str">
        <f>VLOOKUP(B358,'MASTER DATA SLT'!$C$4:$F$544,4,0)</f>
        <v>2021-12-28</v>
      </c>
      <c r="R358">
        <f>VLOOKUP(B358,'MASTER DATA SLT'!$C$4:$G$544,5,0)</f>
        <v>45</v>
      </c>
      <c r="U358">
        <f>VLOOKUP(B358,'SALARY DETALES'!$B$2:$S$475,18,0)</f>
        <v>30000</v>
      </c>
    </row>
    <row r="359" spans="1:21" x14ac:dyDescent="0.3">
      <c r="A359">
        <v>358</v>
      </c>
      <c r="B359">
        <v>80614</v>
      </c>
      <c r="C359" t="s">
        <v>2081</v>
      </c>
      <c r="D359" t="s">
        <v>1871</v>
      </c>
      <c r="E359" t="str">
        <f>VLOOKUP(B359,'MASTER DATA SLT'!$C$4:$H$544,6,0)</f>
        <v>BUS</v>
      </c>
      <c r="F359" t="str">
        <f>VLOOKUP(B359,'MASTER DATA SLT'!$C$4:$F$544,4,0)</f>
        <v>2025-02-03</v>
      </c>
      <c r="G359" t="str">
        <f>VLOOKUP(B359,'MASTER DATA SLT'!$C$4:$P$544,14,0)</f>
        <v>7501-1844944-</v>
      </c>
      <c r="I359" t="str">
        <f>VLOOKUP(B359,'MASTER DATA SLT'!$C$4:$Q$544,15,0)</f>
        <v>03490881944</v>
      </c>
      <c r="J359">
        <f>VLOOKUP(B359,'MASTER DATA SLT'!$C$4:$R$544,16,0)</f>
        <v>0</v>
      </c>
      <c r="K359">
        <f>VLOOKUP(B359,'MASTER DATA SLT'!$C$4:$S$544,17,0)</f>
        <v>0</v>
      </c>
      <c r="N359" t="str">
        <f>VLOOKUP(B359,'SALARY DETALES'!$B$2:$C$475,2,0)</f>
        <v>Section D #1</v>
      </c>
      <c r="O359" t="str">
        <f>VLOOKUP(B359,'SALARY DETALES'!$B$2:$D$475,3,0)</f>
        <v>BW/D</v>
      </c>
      <c r="Q359" t="str">
        <f>VLOOKUP(B359,'MASTER DATA SLT'!$C$4:$F$544,4,0)</f>
        <v>2025-02-03</v>
      </c>
      <c r="R359">
        <f>VLOOKUP(B359,'MASTER DATA SLT'!$C$4:$G$544,5,0)</f>
        <v>0</v>
      </c>
      <c r="U359">
        <f>VLOOKUP(B359,'SALARY DETALES'!$B$2:$S$475,18,0)</f>
        <v>16000</v>
      </c>
    </row>
    <row r="360" spans="1:21" x14ac:dyDescent="0.3">
      <c r="A360">
        <v>359</v>
      </c>
      <c r="B360">
        <v>28009</v>
      </c>
      <c r="C360" t="s">
        <v>118</v>
      </c>
      <c r="D360" t="s">
        <v>1933</v>
      </c>
      <c r="E360" t="str">
        <f>VLOOKUP(B360,'MASTER DATA SLT'!$C$4:$H$544,6,0)</f>
        <v>BUS</v>
      </c>
      <c r="F360" t="str">
        <f>VLOOKUP(B360,'MASTER DATA SLT'!$C$4:$F$544,4,0)</f>
        <v>2021-12-22</v>
      </c>
      <c r="G360">
        <f>VLOOKUP(B360,'MASTER DATA SLT'!$C$4:$P$544,14,0)</f>
        <v>0</v>
      </c>
      <c r="I360">
        <f>VLOOKUP(B360,'MASTER DATA SLT'!$C$4:$Q$544,15,0)</f>
        <v>0</v>
      </c>
      <c r="J360">
        <f>VLOOKUP(B360,'MASTER DATA SLT'!$C$4:$R$544,16,0)</f>
        <v>0</v>
      </c>
      <c r="K360">
        <f>VLOOKUP(B360,'MASTER DATA SLT'!$C$4:$S$544,17,0)</f>
        <v>0</v>
      </c>
      <c r="N360" t="str">
        <f>VLOOKUP(B360,'SALARY DETALES'!$B$2:$C$475,2,0)</f>
        <v>Section D #1</v>
      </c>
      <c r="O360" t="str">
        <f>VLOOKUP(B360,'SALARY DETALES'!$B$2:$D$475,3,0)</f>
        <v>OT</v>
      </c>
      <c r="Q360" t="str">
        <f>VLOOKUP(B360,'MASTER DATA SLT'!$C$4:$F$544,4,0)</f>
        <v>2021-12-22</v>
      </c>
      <c r="R360">
        <f>VLOOKUP(B360,'MASTER DATA SLT'!$C$4:$G$544,5,0)</f>
        <v>0</v>
      </c>
      <c r="U360">
        <f>VLOOKUP(B360,'SALARY DETALES'!$B$2:$S$475,18,0)</f>
        <v>25000</v>
      </c>
    </row>
    <row r="361" spans="1:21" x14ac:dyDescent="0.3">
      <c r="A361">
        <v>360</v>
      </c>
      <c r="B361">
        <v>30008</v>
      </c>
      <c r="C361" t="s">
        <v>571</v>
      </c>
      <c r="D361" t="s">
        <v>2137</v>
      </c>
      <c r="E361" t="str">
        <f>VLOOKUP(B361,'MASTER DATA SLT'!$C$4:$H$544,6,0)</f>
        <v>BUS</v>
      </c>
      <c r="F361" t="str">
        <f>VLOOKUP(B361,'MASTER DATA SLT'!$C$4:$F$544,4,0)</f>
        <v>2021-12-26</v>
      </c>
      <c r="G361">
        <f>VLOOKUP(B361,'MASTER DATA SLT'!$C$4:$P$544,14,0)</f>
        <v>0</v>
      </c>
      <c r="I361">
        <f>VLOOKUP(B361,'MASTER DATA SLT'!$C$4:$Q$544,15,0)</f>
        <v>0</v>
      </c>
      <c r="J361">
        <f>VLOOKUP(B361,'MASTER DATA SLT'!$C$4:$R$544,16,0)</f>
        <v>0</v>
      </c>
      <c r="K361">
        <f>VLOOKUP(B361,'MASTER DATA SLT'!$C$4:$S$544,17,0)</f>
        <v>0</v>
      </c>
      <c r="N361" t="str">
        <f>VLOOKUP(B361,'SALARY DETALES'!$B$2:$C$475,2,0)</f>
        <v>Section D #1</v>
      </c>
      <c r="O361" t="str">
        <f>VLOOKUP(B361,'SALARY DETALES'!$B$2:$D$475,3,0)</f>
        <v>BST</v>
      </c>
      <c r="Q361" t="str">
        <f>VLOOKUP(B361,'MASTER DATA SLT'!$C$4:$F$544,4,0)</f>
        <v>2021-12-26</v>
      </c>
      <c r="R361">
        <f>VLOOKUP(B361,'MASTER DATA SLT'!$C$4:$G$544,5,0)</f>
        <v>0</v>
      </c>
      <c r="U361">
        <f>VLOOKUP(B361,'SALARY DETALES'!$B$2:$S$475,18,0)</f>
        <v>18000</v>
      </c>
    </row>
    <row r="362" spans="1:21" x14ac:dyDescent="0.3">
      <c r="A362">
        <v>361</v>
      </c>
      <c r="B362">
        <v>28049</v>
      </c>
      <c r="C362" t="s">
        <v>2082</v>
      </c>
      <c r="D362" t="s">
        <v>1846</v>
      </c>
      <c r="E362" t="str">
        <f>VLOOKUP(B362,'MASTER DATA SLT'!$C$4:$H$544,6,0)</f>
        <v>BUS</v>
      </c>
      <c r="F362" t="str">
        <f>VLOOKUP(B362,'MASTER DATA SLT'!$C$4:$F$544,4,0)</f>
        <v>2024-09-25</v>
      </c>
      <c r="G362">
        <f>VLOOKUP(B362,'MASTER DATA SLT'!$C$4:$P$544,14,0)</f>
        <v>0</v>
      </c>
      <c r="I362">
        <f>VLOOKUP(B362,'MASTER DATA SLT'!$C$4:$Q$544,15,0)</f>
        <v>0</v>
      </c>
      <c r="J362">
        <f>VLOOKUP(B362,'MASTER DATA SLT'!$C$4:$R$544,16,0)</f>
        <v>0</v>
      </c>
      <c r="K362">
        <f>VLOOKUP(B362,'MASTER DATA SLT'!$C$4:$S$544,17,0)</f>
        <v>0</v>
      </c>
      <c r="N362" t="str">
        <f>VLOOKUP(B362,'SALARY DETALES'!$B$2:$C$475,2,0)</f>
        <v>Section D #1</v>
      </c>
      <c r="O362" t="str">
        <f>VLOOKUP(B362,'SALARY DETALES'!$B$2:$D$475,3,0)</f>
        <v>OT</v>
      </c>
      <c r="Q362" t="str">
        <f>VLOOKUP(B362,'MASTER DATA SLT'!$C$4:$F$544,4,0)</f>
        <v>2024-09-25</v>
      </c>
      <c r="R362">
        <f>VLOOKUP(B362,'MASTER DATA SLT'!$C$4:$G$544,5,0)</f>
        <v>0</v>
      </c>
      <c r="U362">
        <f>VLOOKUP(B362,'SALARY DETALES'!$B$2:$S$475,18,0)</f>
        <v>27500</v>
      </c>
    </row>
    <row r="363" spans="1:21" x14ac:dyDescent="0.3">
      <c r="A363">
        <v>362</v>
      </c>
      <c r="B363">
        <v>29133</v>
      </c>
      <c r="C363" t="s">
        <v>2068</v>
      </c>
      <c r="D363" t="s">
        <v>1863</v>
      </c>
      <c r="E363" t="str">
        <f>VLOOKUP(B363,'MASTER DATA SLT'!$C$4:$H$544,6,0)</f>
        <v>BUS</v>
      </c>
      <c r="F363" t="str">
        <f>VLOOKUP(B363,'MASTER DATA SLT'!$C$4:$F$544,4,0)</f>
        <v>2022-05-15</v>
      </c>
      <c r="G363">
        <f>VLOOKUP(B363,'MASTER DATA SLT'!$C$4:$P$544,14,0)</f>
        <v>0</v>
      </c>
      <c r="I363">
        <f>VLOOKUP(B363,'MASTER DATA SLT'!$C$4:$Q$544,15,0)</f>
        <v>0</v>
      </c>
      <c r="J363">
        <f>VLOOKUP(B363,'MASTER DATA SLT'!$C$4:$R$544,16,0)</f>
        <v>0</v>
      </c>
      <c r="K363">
        <f>VLOOKUP(B363,'MASTER DATA SLT'!$C$4:$S$544,17,0)</f>
        <v>0</v>
      </c>
      <c r="N363" t="str">
        <f>VLOOKUP(B363,'SALARY DETALES'!$B$2:$C$475,2,0)</f>
        <v>Section D #1</v>
      </c>
      <c r="O363" t="str">
        <f>VLOOKUP(B363,'SALARY DETALES'!$B$2:$D$475,3,0)</f>
        <v>BW</v>
      </c>
      <c r="Q363" t="str">
        <f>VLOOKUP(B363,'MASTER DATA SLT'!$C$4:$F$544,4,0)</f>
        <v>2022-05-15</v>
      </c>
      <c r="R363">
        <f>VLOOKUP(B363,'MASTER DATA SLT'!$C$4:$G$544,5,0)</f>
        <v>0</v>
      </c>
      <c r="U363">
        <f>VLOOKUP(B363,'SALARY DETALES'!$B$2:$S$475,18,0)</f>
        <v>18000</v>
      </c>
    </row>
    <row r="364" spans="1:21" x14ac:dyDescent="0.3">
      <c r="A364">
        <v>363</v>
      </c>
      <c r="B364">
        <v>33132</v>
      </c>
      <c r="C364" t="s">
        <v>1902</v>
      </c>
      <c r="D364" t="s">
        <v>1883</v>
      </c>
      <c r="E364" t="str">
        <f>VLOOKUP(B364,'MASTER DATA SLT'!$C$4:$H$544,6,0)</f>
        <v>BUS</v>
      </c>
      <c r="F364" t="str">
        <f>VLOOKUP(B364,'MASTER DATA SLT'!$C$4:$F$544,4,0)</f>
        <v>2022-11-27</v>
      </c>
      <c r="G364">
        <f>VLOOKUP(B364,'MASTER DATA SLT'!$C$4:$P$544,14,0)</f>
        <v>0</v>
      </c>
      <c r="I364">
        <f>VLOOKUP(B364,'MASTER DATA SLT'!$C$4:$Q$544,15,0)</f>
        <v>0</v>
      </c>
      <c r="J364">
        <f>VLOOKUP(B364,'MASTER DATA SLT'!$C$4:$R$544,16,0)</f>
        <v>0</v>
      </c>
      <c r="K364">
        <f>VLOOKUP(B364,'MASTER DATA SLT'!$C$4:$S$544,17,0)</f>
        <v>0</v>
      </c>
      <c r="N364" t="str">
        <f>VLOOKUP(B364,'SALARY DETALES'!$B$2:$C$475,2,0)</f>
        <v>Section D #1</v>
      </c>
      <c r="O364" t="str">
        <f>VLOOKUP(B364,'SALARY DETALES'!$B$2:$D$475,3,0)</f>
        <v>OT</v>
      </c>
      <c r="Q364" t="str">
        <f>VLOOKUP(B364,'MASTER DATA SLT'!$C$4:$F$544,4,0)</f>
        <v>2022-11-27</v>
      </c>
      <c r="R364">
        <f>VLOOKUP(B364,'MASTER DATA SLT'!$C$4:$G$544,5,0)</f>
        <v>0</v>
      </c>
      <c r="U364">
        <f>VLOOKUP(B364,'SALARY DETALES'!$B$2:$S$475,18,0)</f>
        <v>25000</v>
      </c>
    </row>
    <row r="365" spans="1:21" x14ac:dyDescent="0.3">
      <c r="A365">
        <v>364</v>
      </c>
      <c r="B365">
        <v>32107</v>
      </c>
      <c r="C365" t="s">
        <v>575</v>
      </c>
      <c r="D365" t="s">
        <v>2137</v>
      </c>
      <c r="E365" t="str">
        <f>VLOOKUP(B365,'MASTER DATA SLT'!$C$4:$H$544,6,0)</f>
        <v>BUS</v>
      </c>
      <c r="F365" t="str">
        <f>VLOOKUP(B365,'MASTER DATA SLT'!$C$4:$F$544,4,0)</f>
        <v>2022-12-27</v>
      </c>
      <c r="G365">
        <f>VLOOKUP(B365,'MASTER DATA SLT'!$C$4:$P$544,14,0)</f>
        <v>0</v>
      </c>
      <c r="I365">
        <f>VLOOKUP(B365,'MASTER DATA SLT'!$C$4:$Q$544,15,0)</f>
        <v>0</v>
      </c>
      <c r="J365">
        <f>VLOOKUP(B365,'MASTER DATA SLT'!$C$4:$R$544,16,0)</f>
        <v>0</v>
      </c>
      <c r="K365">
        <f>VLOOKUP(B365,'MASTER DATA SLT'!$C$4:$S$544,17,0)</f>
        <v>0</v>
      </c>
      <c r="N365" t="str">
        <f>VLOOKUP(B365,'SALARY DETALES'!$B$2:$C$475,2,0)</f>
        <v>Section D #1</v>
      </c>
      <c r="O365" t="str">
        <f>VLOOKUP(B365,'SALARY DETALES'!$B$2:$D$475,3,0)</f>
        <v>OT</v>
      </c>
      <c r="Q365" t="str">
        <f>VLOOKUP(B365,'MASTER DATA SLT'!$C$4:$F$544,4,0)</f>
        <v>2022-12-27</v>
      </c>
      <c r="R365">
        <f>VLOOKUP(B365,'MASTER DATA SLT'!$C$4:$G$544,5,0)</f>
        <v>0</v>
      </c>
      <c r="U365">
        <f>VLOOKUP(B365,'SALARY DETALES'!$B$2:$S$475,18,0)</f>
        <v>25000</v>
      </c>
    </row>
    <row r="366" spans="1:21" x14ac:dyDescent="0.3">
      <c r="A366">
        <v>365</v>
      </c>
      <c r="B366">
        <v>30193</v>
      </c>
      <c r="C366" t="s">
        <v>2083</v>
      </c>
      <c r="D366" t="s">
        <v>1912</v>
      </c>
      <c r="E366" t="str">
        <f>VLOOKUP(B366,'MASTER DATA SLT'!$C$4:$H$544,6,0)</f>
        <v>BUS</v>
      </c>
      <c r="F366" t="str">
        <f>VLOOKUP(B366,'MASTER DATA SLT'!$C$4:$F$544,4,0)</f>
        <v>2023-02-25</v>
      </c>
      <c r="G366" t="str">
        <f>VLOOKUP(B366,'MASTER DATA SLT'!$C$4:$P$544,14,0)</f>
        <v>71605-0078632</v>
      </c>
      <c r="I366">
        <f>VLOOKUP(B366,'MASTER DATA SLT'!$C$4:$Q$544,15,0)</f>
        <v>3554691708</v>
      </c>
      <c r="J366">
        <f>VLOOKUP(B366,'MASTER DATA SLT'!$C$4:$R$544,16,0)</f>
        <v>0</v>
      </c>
      <c r="K366" t="str">
        <f>VLOOKUP(B366,'MASTER DATA SLT'!$C$4:$S$544,17,0)</f>
        <v>CHOTA GATE KARACHI</v>
      </c>
      <c r="N366" t="str">
        <f>VLOOKUP(B366,'SALARY DETALES'!$B$2:$C$475,2,0)</f>
        <v>Section D #1</v>
      </c>
      <c r="O366" t="str">
        <f>VLOOKUP(B366,'SALARY DETALES'!$B$2:$D$475,3,0)</f>
        <v>BW</v>
      </c>
      <c r="Q366" t="str">
        <f>VLOOKUP(B366,'MASTER DATA SLT'!$C$4:$F$544,4,0)</f>
        <v>2023-02-25</v>
      </c>
      <c r="R366">
        <f>VLOOKUP(B366,'MASTER DATA SLT'!$C$4:$G$544,5,0)</f>
        <v>0</v>
      </c>
      <c r="U366">
        <f>VLOOKUP(B366,'SALARY DETALES'!$B$2:$S$475,18,0)</f>
        <v>22000</v>
      </c>
    </row>
    <row r="367" spans="1:21" x14ac:dyDescent="0.3">
      <c r="A367">
        <v>366</v>
      </c>
      <c r="B367">
        <v>30222</v>
      </c>
      <c r="C367" t="s">
        <v>339</v>
      </c>
      <c r="D367" t="s">
        <v>1863</v>
      </c>
      <c r="E367" t="str">
        <f>VLOOKUP(B367,'MASTER DATA SLT'!$C$4:$H$544,6,0)</f>
        <v>BUS</v>
      </c>
      <c r="F367" t="str">
        <f>VLOOKUP(B367,'MASTER DATA SLT'!$C$4:$F$544,4,0)</f>
        <v>2023-11-17</v>
      </c>
      <c r="G367">
        <f>VLOOKUP(B367,'MASTER DATA SLT'!$C$4:$P$544,14,0)</f>
        <v>0</v>
      </c>
      <c r="I367">
        <f>VLOOKUP(B367,'MASTER DATA SLT'!$C$4:$Q$544,15,0)</f>
        <v>0</v>
      </c>
      <c r="J367">
        <f>VLOOKUP(B367,'MASTER DATA SLT'!$C$4:$R$544,16,0)</f>
        <v>0</v>
      </c>
      <c r="K367">
        <f>VLOOKUP(B367,'MASTER DATA SLT'!$C$4:$S$544,17,0)</f>
        <v>0</v>
      </c>
      <c r="N367" t="str">
        <f>VLOOKUP(B367,'SALARY DETALES'!$B$2:$C$475,2,0)</f>
        <v>Section D #1</v>
      </c>
      <c r="O367" t="str">
        <f>VLOOKUP(B367,'SALARY DETALES'!$B$2:$D$475,3,0)</f>
        <v>BST</v>
      </c>
      <c r="Q367" t="str">
        <f>VLOOKUP(B367,'MASTER DATA SLT'!$C$4:$F$544,4,0)</f>
        <v>2023-11-17</v>
      </c>
      <c r="R367">
        <f>VLOOKUP(B367,'MASTER DATA SLT'!$C$4:$G$544,5,0)</f>
        <v>0</v>
      </c>
      <c r="U367">
        <f>VLOOKUP(B367,'SALARY DETALES'!$B$2:$S$475,18,0)</f>
        <v>16000</v>
      </c>
    </row>
    <row r="368" spans="1:21" x14ac:dyDescent="0.3">
      <c r="A368">
        <v>367</v>
      </c>
      <c r="B368">
        <v>32148</v>
      </c>
      <c r="C368" t="s">
        <v>1950</v>
      </c>
      <c r="D368" t="s">
        <v>1869</v>
      </c>
      <c r="E368" t="str">
        <f>VLOOKUP(B368,'MASTER DATA SLT'!$C$4:$H$544,6,0)</f>
        <v>BUS</v>
      </c>
      <c r="F368" t="str">
        <f>VLOOKUP(B368,'MASTER DATA SLT'!$C$4:$F$544,4,0)</f>
        <v>2024-03-18</v>
      </c>
      <c r="G368">
        <f>VLOOKUP(B368,'MASTER DATA SLT'!$C$4:$P$544,14,0)</f>
        <v>0</v>
      </c>
      <c r="I368">
        <f>VLOOKUP(B368,'MASTER DATA SLT'!$C$4:$Q$544,15,0)</f>
        <v>0</v>
      </c>
      <c r="J368">
        <f>VLOOKUP(B368,'MASTER DATA SLT'!$C$4:$R$544,16,0)</f>
        <v>0</v>
      </c>
      <c r="K368">
        <f>VLOOKUP(B368,'MASTER DATA SLT'!$C$4:$S$544,17,0)</f>
        <v>0</v>
      </c>
      <c r="N368" t="str">
        <f>VLOOKUP(B368,'SALARY DETALES'!$B$2:$C$475,2,0)</f>
        <v>Section D #1</v>
      </c>
      <c r="O368" t="str">
        <f>VLOOKUP(B368,'SALARY DETALES'!$B$2:$D$475,3,0)</f>
        <v>BW</v>
      </c>
      <c r="Q368" t="str">
        <f>VLOOKUP(B368,'MASTER DATA SLT'!$C$4:$F$544,4,0)</f>
        <v>2024-03-18</v>
      </c>
      <c r="R368">
        <f>VLOOKUP(B368,'MASTER DATA SLT'!$C$4:$G$544,5,0)</f>
        <v>0</v>
      </c>
      <c r="U368">
        <f>VLOOKUP(B368,'SALARY DETALES'!$B$2:$S$475,18,0)</f>
        <v>22000</v>
      </c>
    </row>
    <row r="369" spans="1:21" x14ac:dyDescent="0.3">
      <c r="A369">
        <v>368</v>
      </c>
      <c r="B369">
        <v>32157</v>
      </c>
      <c r="C369" t="s">
        <v>1937</v>
      </c>
      <c r="D369" t="s">
        <v>1912</v>
      </c>
      <c r="E369" t="str">
        <f>VLOOKUP(B369,'MASTER DATA SLT'!$C$4:$H$544,6,0)</f>
        <v>BUS</v>
      </c>
      <c r="F369" t="str">
        <f>VLOOKUP(B369,'MASTER DATA SLT'!$C$4:$F$544,4,0)</f>
        <v>2024-05-12</v>
      </c>
      <c r="G369" t="str">
        <f>VLOOKUP(B369,'MASTER DATA SLT'!$C$4:$P$544,14,0)</f>
        <v>70601-0618754</v>
      </c>
      <c r="I369" t="str">
        <f>VLOOKUP(B369,'MASTER DATA SLT'!$C$4:$Q$544,15,0)</f>
        <v>03555838997</v>
      </c>
      <c r="J369">
        <f>VLOOKUP(B369,'MASTER DATA SLT'!$C$4:$R$544,16,0)</f>
        <v>0</v>
      </c>
      <c r="K369">
        <f>VLOOKUP(B369,'MASTER DATA SLT'!$C$4:$S$544,17,0)</f>
        <v>0</v>
      </c>
      <c r="N369" t="str">
        <f>VLOOKUP(B369,'SALARY DETALES'!$B$2:$C$475,2,0)</f>
        <v>Section D #1</v>
      </c>
      <c r="O369" t="str">
        <f>VLOOKUP(B369,'SALARY DETALES'!$B$2:$D$475,3,0)</f>
        <v>BW</v>
      </c>
      <c r="Q369" t="str">
        <f>VLOOKUP(B369,'MASTER DATA SLT'!$C$4:$F$544,4,0)</f>
        <v>2024-05-12</v>
      </c>
      <c r="R369">
        <f>VLOOKUP(B369,'MASTER DATA SLT'!$C$4:$G$544,5,0)</f>
        <v>0</v>
      </c>
      <c r="U369">
        <f>VLOOKUP(B369,'SALARY DETALES'!$B$2:$S$475,18,0)</f>
        <v>16000</v>
      </c>
    </row>
    <row r="370" spans="1:21" x14ac:dyDescent="0.3">
      <c r="A370">
        <v>369</v>
      </c>
      <c r="B370">
        <v>29060</v>
      </c>
      <c r="C370" t="s">
        <v>339</v>
      </c>
      <c r="D370" t="s">
        <v>1863</v>
      </c>
      <c r="E370" t="str">
        <f>VLOOKUP(B370,'MASTER DATA SLT'!$C$4:$H$544,6,0)</f>
        <v>BUS</v>
      </c>
      <c r="F370" t="str">
        <f>VLOOKUP(B370,'MASTER DATA SLT'!$C$4:$F$544,4,0)</f>
        <v>2022-02-04</v>
      </c>
      <c r="G370">
        <f>VLOOKUP(B370,'MASTER DATA SLT'!$C$4:$P$544,14,0)</f>
        <v>0</v>
      </c>
      <c r="I370" t="str">
        <f>VLOOKUP(B370,'MASTER DATA SLT'!$C$4:$Q$544,15,0)</f>
        <v>0319-1319978</v>
      </c>
      <c r="J370">
        <f>VLOOKUP(B370,'MASTER DATA SLT'!$C$4:$R$544,16,0)</f>
        <v>0</v>
      </c>
      <c r="K370">
        <f>VLOOKUP(B370,'MASTER DATA SLT'!$C$4:$S$544,17,0)</f>
        <v>0</v>
      </c>
      <c r="N370" t="str">
        <f>VLOOKUP(B370,'SALARY DETALES'!$B$2:$C$475,2,0)</f>
        <v>Section D #2</v>
      </c>
      <c r="O370" t="str">
        <f>VLOOKUP(B370,'SALARY DETALES'!$B$2:$D$475,3,0)</f>
        <v>OT</v>
      </c>
      <c r="Q370" t="str">
        <f>VLOOKUP(B370,'MASTER DATA SLT'!$C$4:$F$544,4,0)</f>
        <v>2022-02-04</v>
      </c>
      <c r="R370">
        <f>VLOOKUP(B370,'MASTER DATA SLT'!$C$4:$G$544,5,0)</f>
        <v>0</v>
      </c>
      <c r="U370">
        <f>VLOOKUP(B370,'SALARY DETALES'!$B$2:$S$475,18,0)</f>
        <v>25000</v>
      </c>
    </row>
    <row r="371" spans="1:21" x14ac:dyDescent="0.3">
      <c r="A371">
        <v>370</v>
      </c>
      <c r="B371">
        <v>32169</v>
      </c>
      <c r="C371" t="s">
        <v>406</v>
      </c>
      <c r="D371" t="s">
        <v>1874</v>
      </c>
      <c r="E371" t="str">
        <f>VLOOKUP(B371,'MASTER DATA SLT'!$C$4:$H$544,6,0)</f>
        <v>BUS</v>
      </c>
      <c r="F371" t="str">
        <f>VLOOKUP(B371,'MASTER DATA SLT'!$C$4:$F$544,4,0)</f>
        <v>2024-07-25</v>
      </c>
      <c r="G371" t="str">
        <f>VLOOKUP(B371,'MASTER DATA SLT'!$C$4:$P$544,14,0)</f>
        <v>17501-7021555</v>
      </c>
      <c r="I371" t="str">
        <f>VLOOKUP(B371,'MASTER DATA SLT'!$C$4:$Q$544,15,0)</f>
        <v>03555-397939</v>
      </c>
      <c r="J371">
        <f>VLOOKUP(B371,'MASTER DATA SLT'!$C$4:$R$544,16,0)</f>
        <v>0</v>
      </c>
      <c r="K371">
        <f>VLOOKUP(B371,'MASTER DATA SLT'!$C$4:$S$544,17,0)</f>
        <v>0</v>
      </c>
      <c r="N371" t="str">
        <f>VLOOKUP(B371,'SALARY DETALES'!$B$2:$C$475,2,0)</f>
        <v>Section D #2</v>
      </c>
      <c r="O371" t="str">
        <f>VLOOKUP(B371,'SALARY DETALES'!$B$2:$D$475,3,0)</f>
        <v>BW/D</v>
      </c>
      <c r="Q371" t="str">
        <f>VLOOKUP(B371,'MASTER DATA SLT'!$C$4:$F$544,4,0)</f>
        <v>2024-07-25</v>
      </c>
      <c r="R371">
        <f>VLOOKUP(B371,'MASTER DATA SLT'!$C$4:$G$544,5,0)</f>
        <v>0</v>
      </c>
      <c r="U371">
        <f>VLOOKUP(B371,'SALARY DETALES'!$B$2:$S$475,18,0)</f>
        <v>16000</v>
      </c>
    </row>
    <row r="372" spans="1:21" x14ac:dyDescent="0.3">
      <c r="A372">
        <v>371</v>
      </c>
      <c r="B372">
        <v>80688</v>
      </c>
      <c r="C372" t="s">
        <v>1973</v>
      </c>
      <c r="D372" t="s">
        <v>2011</v>
      </c>
      <c r="E372" t="str">
        <f>VLOOKUP(B372,'MASTER DATA SLT'!$C$4:$H$544,6,0)</f>
        <v>BUS</v>
      </c>
      <c r="F372" t="str">
        <f>VLOOKUP(B372,'MASTER DATA SLT'!$C$4:$F$544,4,0)</f>
        <v>2025-03-13</v>
      </c>
      <c r="G372">
        <f>VLOOKUP(B372,'MASTER DATA SLT'!$C$4:$P$544,14,0)</f>
        <v>0</v>
      </c>
      <c r="I372">
        <f>VLOOKUP(B372,'MASTER DATA SLT'!$C$4:$Q$544,15,0)</f>
        <v>0</v>
      </c>
      <c r="J372">
        <f>VLOOKUP(B372,'MASTER DATA SLT'!$C$4:$R$544,16,0)</f>
        <v>0</v>
      </c>
      <c r="K372">
        <f>VLOOKUP(B372,'MASTER DATA SLT'!$C$4:$S$544,17,0)</f>
        <v>0</v>
      </c>
      <c r="N372" t="str">
        <f>VLOOKUP(B372,'SALARY DETALES'!$B$2:$C$475,2,0)</f>
        <v>Section D #2</v>
      </c>
      <c r="O372" t="str">
        <f>VLOOKUP(B372,'SALARY DETALES'!$B$2:$D$475,3,0)</f>
        <v>B/W</v>
      </c>
      <c r="Q372" t="str">
        <f>VLOOKUP(B372,'MASTER DATA SLT'!$C$4:$F$544,4,0)</f>
        <v>2025-03-13</v>
      </c>
      <c r="R372">
        <f>VLOOKUP(B372,'MASTER DATA SLT'!$C$4:$G$544,5,0)</f>
        <v>0</v>
      </c>
      <c r="U372">
        <f>VLOOKUP(B372,'SALARY DETALES'!$B$2:$S$475,18,0)</f>
        <v>16000</v>
      </c>
    </row>
    <row r="373" spans="1:21" x14ac:dyDescent="0.3">
      <c r="A373">
        <v>372</v>
      </c>
      <c r="B373">
        <v>80690</v>
      </c>
      <c r="C373" t="s">
        <v>1884</v>
      </c>
      <c r="D373" t="s">
        <v>2147</v>
      </c>
      <c r="E373" t="str">
        <f>VLOOKUP(B373,'MASTER DATA SLT'!$C$4:$H$544,6,0)</f>
        <v>BUS</v>
      </c>
      <c r="F373" t="str">
        <f>VLOOKUP(B373,'MASTER DATA SLT'!$C$4:$F$544,4,0)</f>
        <v>2025-03-13</v>
      </c>
      <c r="G373">
        <f>VLOOKUP(B373,'MASTER DATA SLT'!$C$4:$P$544,14,0)</f>
        <v>0</v>
      </c>
      <c r="I373">
        <f>VLOOKUP(B373,'MASTER DATA SLT'!$C$4:$Q$544,15,0)</f>
        <v>0</v>
      </c>
      <c r="J373">
        <f>VLOOKUP(B373,'MASTER DATA SLT'!$C$4:$R$544,16,0)</f>
        <v>0</v>
      </c>
      <c r="K373">
        <f>VLOOKUP(B373,'MASTER DATA SLT'!$C$4:$S$544,17,0)</f>
        <v>0</v>
      </c>
      <c r="N373" t="str">
        <f>VLOOKUP(B373,'SALARY DETALES'!$B$2:$C$475,2,0)</f>
        <v>Section D #2</v>
      </c>
      <c r="O373" t="str">
        <f>VLOOKUP(B373,'SALARY DETALES'!$B$2:$D$475,3,0)</f>
        <v>B/W</v>
      </c>
      <c r="Q373" t="str">
        <f>VLOOKUP(B373,'MASTER DATA SLT'!$C$4:$F$544,4,0)</f>
        <v>2025-03-13</v>
      </c>
      <c r="R373">
        <f>VLOOKUP(B373,'MASTER DATA SLT'!$C$4:$G$544,5,0)</f>
        <v>0</v>
      </c>
      <c r="U373">
        <f>VLOOKUP(B373,'SALARY DETALES'!$B$2:$S$475,18,0)</f>
        <v>16000</v>
      </c>
    </row>
    <row r="374" spans="1:21" x14ac:dyDescent="0.3">
      <c r="A374">
        <v>373</v>
      </c>
      <c r="B374">
        <v>80728</v>
      </c>
      <c r="C374" t="s">
        <v>583</v>
      </c>
      <c r="D374" t="s">
        <v>2137</v>
      </c>
      <c r="E374" t="str">
        <f>VLOOKUP(B374,'MASTER DATA SLT'!$C$4:$H$544,6,0)</f>
        <v>BUS</v>
      </c>
      <c r="F374" t="str">
        <f>VLOOKUP(B374,'MASTER DATA SLT'!$C$4:$F$544,4,0)</f>
        <v>2025-03-20</v>
      </c>
      <c r="G374">
        <f>VLOOKUP(B374,'MASTER DATA SLT'!$C$4:$P$544,14,0)</f>
        <v>0</v>
      </c>
      <c r="I374">
        <f>VLOOKUP(B374,'MASTER DATA SLT'!$C$4:$Q$544,15,0)</f>
        <v>0</v>
      </c>
      <c r="J374">
        <f>VLOOKUP(B374,'MASTER DATA SLT'!$C$4:$R$544,16,0)</f>
        <v>0</v>
      </c>
      <c r="K374">
        <f>VLOOKUP(B374,'MASTER DATA SLT'!$C$4:$S$544,17,0)</f>
        <v>0</v>
      </c>
      <c r="N374" t="str">
        <f>VLOOKUP(B374,'SALARY DETALES'!$B$2:$C$475,2,0)</f>
        <v>Section D #2</v>
      </c>
      <c r="O374" t="str">
        <f>VLOOKUP(B374,'SALARY DETALES'!$B$2:$D$475,3,0)</f>
        <v>B/W</v>
      </c>
      <c r="Q374" t="str">
        <f>VLOOKUP(B374,'MASTER DATA SLT'!$C$4:$F$544,4,0)</f>
        <v>2025-03-20</v>
      </c>
      <c r="R374">
        <f>VLOOKUP(B374,'MASTER DATA SLT'!$C$4:$G$544,5,0)</f>
        <v>0</v>
      </c>
      <c r="U374">
        <f>VLOOKUP(B374,'SALARY DETALES'!$B$2:$S$475,18,0)</f>
        <v>16000</v>
      </c>
    </row>
    <row r="375" spans="1:21" x14ac:dyDescent="0.3">
      <c r="A375">
        <v>374</v>
      </c>
      <c r="B375">
        <v>28091</v>
      </c>
      <c r="C375" t="s">
        <v>2084</v>
      </c>
      <c r="D375" t="s">
        <v>2085</v>
      </c>
      <c r="E375" t="str">
        <f>VLOOKUP(B375,'MASTER DATA SLT'!$C$4:$H$544,6,0)</f>
        <v>BUS</v>
      </c>
      <c r="F375" t="str">
        <f>VLOOKUP(B375,'MASTER DATA SLT'!$C$4:$F$544,4,0)</f>
        <v>2023-08-25</v>
      </c>
      <c r="G375" t="str">
        <f>VLOOKUP(B375,'MASTER DATA SLT'!$C$4:$P$544,14,0)</f>
        <v>34101-6608998</v>
      </c>
      <c r="I375" t="str">
        <f>VLOOKUP(B375,'MASTER DATA SLT'!$C$4:$Q$544,15,0)</f>
        <v>0343-8096978</v>
      </c>
      <c r="J375">
        <f>VLOOKUP(B375,'MASTER DATA SLT'!$C$4:$R$544,16,0)</f>
        <v>0</v>
      </c>
      <c r="K375">
        <f>VLOOKUP(B375,'MASTER DATA SLT'!$C$4:$S$544,17,0)</f>
        <v>0</v>
      </c>
      <c r="N375" t="str">
        <f>VLOOKUP(B375,'SALARY DETALES'!$B$2:$C$475,2,0)</f>
        <v>Section D #2</v>
      </c>
      <c r="O375" t="str">
        <f>VLOOKUP(B375,'SALARY DETALES'!$B$2:$D$475,3,0)</f>
        <v>OT</v>
      </c>
      <c r="Q375" t="str">
        <f>VLOOKUP(B375,'MASTER DATA SLT'!$C$4:$F$544,4,0)</f>
        <v>2023-08-25</v>
      </c>
      <c r="R375">
        <f>VLOOKUP(B375,'MASTER DATA SLT'!$C$4:$G$544,5,0)</f>
        <v>0</v>
      </c>
      <c r="U375">
        <f>VLOOKUP(B375,'SALARY DETALES'!$B$2:$S$475,18,0)</f>
        <v>25000</v>
      </c>
    </row>
    <row r="376" spans="1:21" x14ac:dyDescent="0.3">
      <c r="A376">
        <v>375</v>
      </c>
      <c r="B376">
        <v>80403</v>
      </c>
      <c r="C376" t="s">
        <v>586</v>
      </c>
      <c r="D376" t="s">
        <v>2137</v>
      </c>
      <c r="E376" t="str">
        <f>VLOOKUP(B376,'MASTER DATA SLT'!$C$4:$H$544,6,0)</f>
        <v>BUS</v>
      </c>
      <c r="F376" t="str">
        <f>VLOOKUP(B376,'MASTER DATA SLT'!$C$4:$F$544,4,0)</f>
        <v>2024-09-27</v>
      </c>
      <c r="G376" t="str">
        <f>VLOOKUP(B376,'MASTER DATA SLT'!$C$4:$P$544,14,0)</f>
        <v>71501-9002693</v>
      </c>
      <c r="I376" t="str">
        <f>VLOOKUP(B376,'MASTER DATA SLT'!$C$4:$Q$544,15,0)</f>
        <v>03555254092</v>
      </c>
      <c r="J376">
        <f>VLOOKUP(B376,'MASTER DATA SLT'!$C$4:$R$544,16,0)</f>
        <v>0</v>
      </c>
      <c r="K376">
        <f>VLOOKUP(B376,'MASTER DATA SLT'!$C$4:$S$544,17,0)</f>
        <v>0</v>
      </c>
      <c r="N376" t="str">
        <f>VLOOKUP(B376,'SALARY DETALES'!$B$2:$C$475,2,0)</f>
        <v>Section D #2</v>
      </c>
      <c r="O376" t="str">
        <f>VLOOKUP(B376,'SALARY DETALES'!$B$2:$D$475,3,0)</f>
        <v>BW/D</v>
      </c>
      <c r="Q376" t="str">
        <f>VLOOKUP(B376,'MASTER DATA SLT'!$C$4:$F$544,4,0)</f>
        <v>2024-09-27</v>
      </c>
      <c r="R376">
        <f>VLOOKUP(B376,'MASTER DATA SLT'!$C$4:$G$544,5,0)</f>
        <v>0</v>
      </c>
      <c r="U376">
        <f>VLOOKUP(B376,'SALARY DETALES'!$B$2:$S$475,18,0)</f>
        <v>16000</v>
      </c>
    </row>
    <row r="377" spans="1:21" x14ac:dyDescent="0.3">
      <c r="A377">
        <v>376</v>
      </c>
      <c r="B377">
        <v>80404</v>
      </c>
      <c r="C377" t="s">
        <v>2086</v>
      </c>
      <c r="D377" t="s">
        <v>1854</v>
      </c>
      <c r="E377" t="str">
        <f>VLOOKUP(B377,'MASTER DATA SLT'!$C$4:$H$544,6,0)</f>
        <v>BUS</v>
      </c>
      <c r="F377" t="str">
        <f>VLOOKUP(B377,'MASTER DATA SLT'!$C$4:$F$544,4,0)</f>
        <v>2024-09-25</v>
      </c>
      <c r="G377" t="str">
        <f>VLOOKUP(B377,'MASTER DATA SLT'!$C$4:$P$544,14,0)</f>
        <v>71202-2421316</v>
      </c>
      <c r="I377" t="str">
        <f>VLOOKUP(B377,'MASTER DATA SLT'!$C$4:$Q$544,15,0)</f>
        <v>0348-8803852</v>
      </c>
      <c r="J377">
        <f>VLOOKUP(B377,'MASTER DATA SLT'!$C$4:$R$544,16,0)</f>
        <v>0</v>
      </c>
      <c r="K377">
        <f>VLOOKUP(B377,'MASTER DATA SLT'!$C$4:$S$544,17,0)</f>
        <v>0</v>
      </c>
      <c r="N377" t="str">
        <f>VLOOKUP(B377,'SALARY DETALES'!$B$2:$C$475,2,0)</f>
        <v>Section D #2</v>
      </c>
      <c r="O377" t="str">
        <f>VLOOKUP(B377,'SALARY DETALES'!$B$2:$D$475,3,0)</f>
        <v>B/W</v>
      </c>
      <c r="Q377" t="str">
        <f>VLOOKUP(B377,'MASTER DATA SLT'!$C$4:$F$544,4,0)</f>
        <v>2024-09-25</v>
      </c>
      <c r="R377">
        <f>VLOOKUP(B377,'MASTER DATA SLT'!$C$4:$G$544,5,0)</f>
        <v>0</v>
      </c>
      <c r="U377">
        <f>VLOOKUP(B377,'SALARY DETALES'!$B$2:$S$475,18,0)</f>
        <v>16000</v>
      </c>
    </row>
    <row r="378" spans="1:21" x14ac:dyDescent="0.3">
      <c r="A378">
        <v>377</v>
      </c>
      <c r="B378">
        <v>80414</v>
      </c>
      <c r="C378" t="s">
        <v>2087</v>
      </c>
      <c r="D378" t="s">
        <v>1901</v>
      </c>
      <c r="E378" t="str">
        <f>VLOOKUP(B378,'MASTER DATA SLT'!$C$4:$H$544,6,0)</f>
        <v>BUS</v>
      </c>
      <c r="F378" t="str">
        <f>VLOOKUP(B378,'MASTER DATA SLT'!$C$4:$F$544,4,0)</f>
        <v>2024-10-03</v>
      </c>
      <c r="G378" t="str">
        <f>VLOOKUP(B378,'MASTER DATA SLT'!$C$4:$P$544,14,0)</f>
        <v>71602-0360830</v>
      </c>
      <c r="I378" t="str">
        <f>VLOOKUP(B378,'MASTER DATA SLT'!$C$4:$Q$544,15,0)</f>
        <v>03708474734</v>
      </c>
      <c r="J378">
        <f>VLOOKUP(B378,'MASTER DATA SLT'!$C$4:$R$544,16,0)</f>
        <v>0</v>
      </c>
      <c r="K378">
        <f>VLOOKUP(B378,'MASTER DATA SLT'!$C$4:$S$544,17,0)</f>
        <v>0</v>
      </c>
      <c r="N378" t="str">
        <f>VLOOKUP(B378,'SALARY DETALES'!$B$2:$C$475,2,0)</f>
        <v>Section D #2</v>
      </c>
      <c r="O378" t="str">
        <f>VLOOKUP(B378,'SALARY DETALES'!$B$2:$D$475,3,0)</f>
        <v>BW/D</v>
      </c>
      <c r="Q378" t="str">
        <f>VLOOKUP(B378,'MASTER DATA SLT'!$C$4:$F$544,4,0)</f>
        <v>2024-10-03</v>
      </c>
      <c r="R378">
        <f>VLOOKUP(B378,'MASTER DATA SLT'!$C$4:$G$544,5,0)</f>
        <v>0</v>
      </c>
      <c r="U378">
        <f>VLOOKUP(B378,'SALARY DETALES'!$B$2:$S$475,18,0)</f>
        <v>20000</v>
      </c>
    </row>
    <row r="379" spans="1:21" x14ac:dyDescent="0.3">
      <c r="A379">
        <v>378</v>
      </c>
      <c r="B379">
        <v>30057</v>
      </c>
      <c r="C379" t="s">
        <v>1777</v>
      </c>
      <c r="D379" t="s">
        <v>1883</v>
      </c>
      <c r="E379" t="str">
        <f>VLOOKUP(B379,'MASTER DATA SLT'!$C$4:$H$544,6,0)</f>
        <v>BUS</v>
      </c>
      <c r="F379" t="str">
        <f>VLOOKUP(B379,'MASTER DATA SLT'!$C$4:$F$544,4,0)</f>
        <v>2024-11-09</v>
      </c>
      <c r="G379" t="str">
        <f>VLOOKUP(B379,'MASTER DATA SLT'!$C$4:$P$544,14,0)</f>
        <v>71601-0602303</v>
      </c>
      <c r="I379" t="str">
        <f>VLOOKUP(B379,'MASTER DATA SLT'!$C$4:$Q$544,15,0)</f>
        <v>0318-3800069</v>
      </c>
      <c r="J379">
        <f>VLOOKUP(B379,'MASTER DATA SLT'!$C$4:$R$544,16,0)</f>
        <v>0</v>
      </c>
      <c r="K379">
        <f>VLOOKUP(B379,'MASTER DATA SLT'!$C$4:$S$544,17,0)</f>
        <v>0</v>
      </c>
      <c r="N379" t="str">
        <f>VLOOKUP(B379,'SALARY DETALES'!$B$2:$C$475,2,0)</f>
        <v>Section D #2</v>
      </c>
      <c r="O379" t="str">
        <f>VLOOKUP(B379,'SALARY DETALES'!$B$2:$D$475,3,0)</f>
        <v>B/S</v>
      </c>
      <c r="Q379" t="str">
        <f>VLOOKUP(B379,'MASTER DATA SLT'!$C$4:$F$544,4,0)</f>
        <v>2024-11-09</v>
      </c>
      <c r="R379">
        <f>VLOOKUP(B379,'MASTER DATA SLT'!$C$4:$G$544,5,0)</f>
        <v>0</v>
      </c>
      <c r="U379">
        <f>VLOOKUP(B379,'SALARY DETALES'!$B$2:$S$475,18,0)</f>
        <v>16000</v>
      </c>
    </row>
    <row r="380" spans="1:21" x14ac:dyDescent="0.3">
      <c r="A380">
        <v>379</v>
      </c>
      <c r="B380">
        <v>80546</v>
      </c>
      <c r="C380" t="s">
        <v>438</v>
      </c>
      <c r="D380" t="s">
        <v>2137</v>
      </c>
      <c r="E380" t="str">
        <f>VLOOKUP(B380,'MASTER DATA SLT'!$C$4:$H$544,6,0)</f>
        <v>BUS</v>
      </c>
      <c r="F380" t="str">
        <f>VLOOKUP(B380,'MASTER DATA SLT'!$C$4:$F$544,4,0)</f>
        <v>2024-12-21</v>
      </c>
      <c r="G380" t="str">
        <f>VLOOKUP(B380,'MASTER DATA SLT'!$C$4:$P$544,14,0)</f>
        <v>71202-4049928</v>
      </c>
      <c r="I380" t="str">
        <f>VLOOKUP(B380,'MASTER DATA SLT'!$C$4:$Q$544,15,0)</f>
        <v>0311-9719066</v>
      </c>
      <c r="J380">
        <f>VLOOKUP(B380,'MASTER DATA SLT'!$C$4:$R$544,16,0)</f>
        <v>0</v>
      </c>
      <c r="K380">
        <f>VLOOKUP(B380,'MASTER DATA SLT'!$C$4:$S$544,17,0)</f>
        <v>0</v>
      </c>
      <c r="N380" t="str">
        <f>VLOOKUP(B380,'SALARY DETALES'!$B$2:$C$475,2,0)</f>
        <v>Section D #2</v>
      </c>
      <c r="O380" t="str">
        <f>VLOOKUP(B380,'SALARY DETALES'!$B$2:$D$475,3,0)</f>
        <v>B/W</v>
      </c>
      <c r="Q380" t="str">
        <f>VLOOKUP(B380,'MASTER DATA SLT'!$C$4:$F$544,4,0)</f>
        <v>2024-12-21</v>
      </c>
      <c r="R380">
        <f>VLOOKUP(B380,'MASTER DATA SLT'!$C$4:$G$544,5,0)</f>
        <v>0</v>
      </c>
      <c r="U380">
        <f>VLOOKUP(B380,'SALARY DETALES'!$B$2:$S$475,18,0)</f>
        <v>16000</v>
      </c>
    </row>
    <row r="381" spans="1:21" x14ac:dyDescent="0.3">
      <c r="A381">
        <v>380</v>
      </c>
      <c r="B381">
        <v>80548</v>
      </c>
      <c r="C381" t="s">
        <v>1976</v>
      </c>
      <c r="D381" t="s">
        <v>1912</v>
      </c>
      <c r="E381" t="str">
        <f>VLOOKUP(B381,'MASTER DATA SLT'!$C$4:$H$544,6,0)</f>
        <v>BUS</v>
      </c>
      <c r="F381" t="str">
        <f>VLOOKUP(B381,'MASTER DATA SLT'!$C$4:$F$544,4,0)</f>
        <v>2024-12-20</v>
      </c>
      <c r="G381" t="str">
        <f>VLOOKUP(B381,'MASTER DATA SLT'!$C$4:$P$544,14,0)</f>
        <v>71202-2982785</v>
      </c>
      <c r="I381" t="str">
        <f>VLOOKUP(B381,'MASTER DATA SLT'!$C$4:$Q$544,15,0)</f>
        <v>0355-4482394</v>
      </c>
      <c r="J381">
        <f>VLOOKUP(B381,'MASTER DATA SLT'!$C$4:$R$544,16,0)</f>
        <v>0</v>
      </c>
      <c r="K381">
        <f>VLOOKUP(B381,'MASTER DATA SLT'!$C$4:$S$544,17,0)</f>
        <v>0</v>
      </c>
      <c r="N381" t="str">
        <f>VLOOKUP(B381,'SALARY DETALES'!$B$2:$C$475,2,0)</f>
        <v>Section D #2</v>
      </c>
      <c r="O381" t="str">
        <f>VLOOKUP(B381,'SALARY DETALES'!$B$2:$D$475,3,0)</f>
        <v>B/W</v>
      </c>
      <c r="Q381" t="str">
        <f>VLOOKUP(B381,'MASTER DATA SLT'!$C$4:$F$544,4,0)</f>
        <v>2024-12-20</v>
      </c>
      <c r="R381">
        <f>VLOOKUP(B381,'MASTER DATA SLT'!$C$4:$G$544,5,0)</f>
        <v>0</v>
      </c>
      <c r="U381">
        <f>VLOOKUP(B381,'SALARY DETALES'!$B$2:$S$475,18,0)</f>
        <v>16000</v>
      </c>
    </row>
    <row r="382" spans="1:21" x14ac:dyDescent="0.3">
      <c r="A382">
        <v>381</v>
      </c>
      <c r="B382">
        <v>33083</v>
      </c>
      <c r="C382" t="s">
        <v>2088</v>
      </c>
      <c r="D382" t="s">
        <v>1912</v>
      </c>
      <c r="E382" t="str">
        <f>VLOOKUP(B382,'MASTER DATA SLT'!$C$4:$H$544,6,0)</f>
        <v>BUS</v>
      </c>
      <c r="F382" t="str">
        <f>VLOOKUP(B382,'MASTER DATA SLT'!$C$4:$F$544,4,0)</f>
        <v>2024-12-24</v>
      </c>
      <c r="G382">
        <f>VLOOKUP(B382,'MASTER DATA SLT'!$C$4:$P$544,14,0)</f>
        <v>0</v>
      </c>
      <c r="I382" t="str">
        <f>VLOOKUP(B382,'MASTER DATA SLT'!$C$4:$Q$544,15,0)</f>
        <v>0370-2535663</v>
      </c>
      <c r="J382">
        <f>VLOOKUP(B382,'MASTER DATA SLT'!$C$4:$R$544,16,0)</f>
        <v>0</v>
      </c>
      <c r="K382">
        <f>VLOOKUP(B382,'MASTER DATA SLT'!$C$4:$S$544,17,0)</f>
        <v>0</v>
      </c>
      <c r="N382" t="str">
        <f>VLOOKUP(B382,'SALARY DETALES'!$B$2:$C$475,2,0)</f>
        <v>Section D #2</v>
      </c>
      <c r="O382" t="str">
        <f>VLOOKUP(B382,'SALARY DETALES'!$B$2:$D$475,3,0)</f>
        <v>B/W</v>
      </c>
      <c r="Q382" t="str">
        <f>VLOOKUP(B382,'MASTER DATA SLT'!$C$4:$F$544,4,0)</f>
        <v>2024-12-24</v>
      </c>
      <c r="R382">
        <f>VLOOKUP(B382,'MASTER DATA SLT'!$C$4:$G$544,5,0)</f>
        <v>0</v>
      </c>
      <c r="U382">
        <f>VLOOKUP(B382,'SALARY DETALES'!$B$2:$S$475,18,0)</f>
        <v>16000</v>
      </c>
    </row>
    <row r="383" spans="1:21" x14ac:dyDescent="0.3">
      <c r="A383">
        <v>382</v>
      </c>
      <c r="B383">
        <v>80623</v>
      </c>
      <c r="C383" t="s">
        <v>180</v>
      </c>
      <c r="D383" t="s">
        <v>1863</v>
      </c>
      <c r="E383" t="str">
        <f>VLOOKUP(B383,'MASTER DATA SLT'!$C$4:$H$544,6,0)</f>
        <v>BUS</v>
      </c>
      <c r="F383" t="str">
        <f>VLOOKUP(B383,'MASTER DATA SLT'!$C$4:$F$544,4,0)</f>
        <v>2025-02-03</v>
      </c>
      <c r="G383">
        <f>VLOOKUP(B383,'MASTER DATA SLT'!$C$4:$P$544,14,0)</f>
        <v>0</v>
      </c>
      <c r="I383" t="str">
        <f>VLOOKUP(B383,'MASTER DATA SLT'!$C$4:$Q$544,15,0)</f>
        <v>03255231193</v>
      </c>
      <c r="J383">
        <f>VLOOKUP(B383,'MASTER DATA SLT'!$C$4:$R$544,16,0)</f>
        <v>0</v>
      </c>
      <c r="K383">
        <f>VLOOKUP(B383,'MASTER DATA SLT'!$C$4:$S$544,17,0)</f>
        <v>0</v>
      </c>
      <c r="N383" t="str">
        <f>VLOOKUP(B383,'SALARY DETALES'!$B$2:$C$475,2,0)</f>
        <v>Section D #2</v>
      </c>
      <c r="O383" t="str">
        <f>VLOOKUP(B383,'SALARY DETALES'!$B$2:$D$475,3,0)</f>
        <v>BW/D</v>
      </c>
      <c r="Q383" t="str">
        <f>VLOOKUP(B383,'MASTER DATA SLT'!$C$4:$F$544,4,0)</f>
        <v>2025-02-03</v>
      </c>
      <c r="R383">
        <f>VLOOKUP(B383,'MASTER DATA SLT'!$C$4:$G$544,5,0)</f>
        <v>0</v>
      </c>
      <c r="U383">
        <f>VLOOKUP(B383,'SALARY DETALES'!$B$2:$S$475,18,0)</f>
        <v>16000</v>
      </c>
    </row>
    <row r="384" spans="1:21" x14ac:dyDescent="0.3">
      <c r="A384">
        <v>383</v>
      </c>
      <c r="B384">
        <v>80646</v>
      </c>
      <c r="C384" t="s">
        <v>2089</v>
      </c>
      <c r="D384" t="s">
        <v>2140</v>
      </c>
      <c r="E384" t="str">
        <f>VLOOKUP(B384,'MASTER DATA SLT'!$C$4:$H$544,6,0)</f>
        <v>BUS</v>
      </c>
      <c r="F384" t="str">
        <f>VLOOKUP(B384,'MASTER DATA SLT'!$C$4:$F$544,4,0)</f>
        <v>2025-02-24</v>
      </c>
      <c r="G384">
        <f>VLOOKUP(B384,'MASTER DATA SLT'!$C$4:$P$544,14,0)</f>
        <v>0</v>
      </c>
      <c r="I384" t="str">
        <f>VLOOKUP(B384,'MASTER DATA SLT'!$C$4:$Q$544,15,0)</f>
        <v>0349-5342014</v>
      </c>
      <c r="J384">
        <f>VLOOKUP(B384,'MASTER DATA SLT'!$C$4:$R$544,16,0)</f>
        <v>0</v>
      </c>
      <c r="K384">
        <f>VLOOKUP(B384,'MASTER DATA SLT'!$C$4:$S$544,17,0)</f>
        <v>0</v>
      </c>
      <c r="N384" t="str">
        <f>VLOOKUP(B384,'SALARY DETALES'!$B$2:$C$475,2,0)</f>
        <v>Section D #2</v>
      </c>
      <c r="O384" t="str">
        <f>VLOOKUP(B384,'SALARY DETALES'!$B$2:$D$475,3,0)</f>
        <v>B/W</v>
      </c>
      <c r="Q384" t="str">
        <f>VLOOKUP(B384,'MASTER DATA SLT'!$C$4:$F$544,4,0)</f>
        <v>2025-02-24</v>
      </c>
      <c r="R384">
        <f>VLOOKUP(B384,'MASTER DATA SLT'!$C$4:$G$544,5,0)</f>
        <v>0</v>
      </c>
      <c r="U384">
        <f>VLOOKUP(B384,'SALARY DETALES'!$B$2:$S$475,18,0)</f>
        <v>16000</v>
      </c>
    </row>
    <row r="385" spans="1:21" x14ac:dyDescent="0.3">
      <c r="A385">
        <v>384</v>
      </c>
      <c r="B385">
        <v>80698</v>
      </c>
      <c r="C385" t="s">
        <v>1973</v>
      </c>
      <c r="D385" t="s">
        <v>2090</v>
      </c>
      <c r="E385" t="str">
        <f>VLOOKUP(B385,'MASTER DATA SLT'!$C$4:$H$544,6,0)</f>
        <v>BUS</v>
      </c>
      <c r="F385" t="str">
        <f>VLOOKUP(B385,'MASTER DATA SLT'!$C$4:$F$544,4,0)</f>
        <v>2025-03-15</v>
      </c>
      <c r="G385">
        <f>VLOOKUP(B385,'MASTER DATA SLT'!$C$4:$P$544,14,0)</f>
        <v>0</v>
      </c>
      <c r="I385">
        <f>VLOOKUP(B385,'MASTER DATA SLT'!$C$4:$Q$544,15,0)</f>
        <v>0</v>
      </c>
      <c r="J385">
        <f>VLOOKUP(B385,'MASTER DATA SLT'!$C$4:$R$544,16,0)</f>
        <v>0</v>
      </c>
      <c r="K385">
        <f>VLOOKUP(B385,'MASTER DATA SLT'!$C$4:$S$544,17,0)</f>
        <v>0</v>
      </c>
      <c r="N385" t="str">
        <f>VLOOKUP(B385,'SALARY DETALES'!$B$2:$C$475,2,0)</f>
        <v>Section D #2</v>
      </c>
      <c r="O385" t="str">
        <f>VLOOKUP(B385,'SALARY DETALES'!$B$2:$D$475,3,0)</f>
        <v>B/W</v>
      </c>
      <c r="Q385" t="str">
        <f>VLOOKUP(B385,'MASTER DATA SLT'!$C$4:$F$544,4,0)</f>
        <v>2025-03-15</v>
      </c>
      <c r="R385">
        <f>VLOOKUP(B385,'MASTER DATA SLT'!$C$4:$G$544,5,0)</f>
        <v>0</v>
      </c>
      <c r="U385">
        <f>VLOOKUP(B385,'SALARY DETALES'!$B$2:$S$475,18,0)</f>
        <v>16000</v>
      </c>
    </row>
    <row r="386" spans="1:21" x14ac:dyDescent="0.3">
      <c r="A386">
        <v>385</v>
      </c>
      <c r="B386">
        <v>80699</v>
      </c>
      <c r="C386" t="s">
        <v>1959</v>
      </c>
      <c r="D386" t="s">
        <v>1852</v>
      </c>
      <c r="E386" t="str">
        <f>VLOOKUP(B386,'MASTER DATA SLT'!$C$4:$H$544,6,0)</f>
        <v>BUS</v>
      </c>
      <c r="F386" t="str">
        <f>VLOOKUP(B386,'MASTER DATA SLT'!$C$4:$F$544,4,0)</f>
        <v>2025-03-13</v>
      </c>
      <c r="G386">
        <f>VLOOKUP(B386,'MASTER DATA SLT'!$C$4:$P$544,14,0)</f>
        <v>0</v>
      </c>
      <c r="I386">
        <f>VLOOKUP(B386,'MASTER DATA SLT'!$C$4:$Q$544,15,0)</f>
        <v>0</v>
      </c>
      <c r="J386">
        <f>VLOOKUP(B386,'MASTER DATA SLT'!$C$4:$R$544,16,0)</f>
        <v>0</v>
      </c>
      <c r="K386">
        <f>VLOOKUP(B386,'MASTER DATA SLT'!$C$4:$S$544,17,0)</f>
        <v>0</v>
      </c>
      <c r="N386" t="str">
        <f>VLOOKUP(B386,'SALARY DETALES'!$B$2:$C$475,2,0)</f>
        <v>Section D #2</v>
      </c>
      <c r="O386" t="str">
        <f>VLOOKUP(B386,'SALARY DETALES'!$B$2:$D$475,3,0)</f>
        <v>B/W</v>
      </c>
      <c r="Q386" t="str">
        <f>VLOOKUP(B386,'MASTER DATA SLT'!$C$4:$F$544,4,0)</f>
        <v>2025-03-13</v>
      </c>
      <c r="R386">
        <f>VLOOKUP(B386,'MASTER DATA SLT'!$C$4:$G$544,5,0)</f>
        <v>0</v>
      </c>
      <c r="U386">
        <f>VLOOKUP(B386,'SALARY DETALES'!$B$2:$S$475,18,0)</f>
        <v>16000</v>
      </c>
    </row>
    <row r="387" spans="1:21" x14ac:dyDescent="0.3">
      <c r="A387">
        <v>386</v>
      </c>
      <c r="B387">
        <v>80706</v>
      </c>
      <c r="C387" t="s">
        <v>2015</v>
      </c>
      <c r="D387" t="s">
        <v>1846</v>
      </c>
      <c r="E387" t="str">
        <f>VLOOKUP(B387,'MASTER DATA SLT'!$C$4:$H$544,6,0)</f>
        <v>BUS</v>
      </c>
      <c r="F387" t="str">
        <f>VLOOKUP(B387,'MASTER DATA SLT'!$C$4:$F$544,4,0)</f>
        <v>2025-03-07</v>
      </c>
      <c r="G387" t="str">
        <f>VLOOKUP(B387,'MASTER DATA SLT'!$C$4:$P$544,14,0)</f>
        <v>712025992433-</v>
      </c>
      <c r="I387" t="str">
        <f>VLOOKUP(B387,'MASTER DATA SLT'!$C$4:$Q$544,15,0)</f>
        <v>03553949144</v>
      </c>
      <c r="J387">
        <f>VLOOKUP(B387,'MASTER DATA SLT'!$C$4:$R$544,16,0)</f>
        <v>0</v>
      </c>
      <c r="K387">
        <f>VLOOKUP(B387,'MASTER DATA SLT'!$C$4:$S$544,17,0)</f>
        <v>0</v>
      </c>
      <c r="N387" t="str">
        <f>VLOOKUP(B387,'SALARY DETALES'!$B$2:$C$475,2,0)</f>
        <v>Section D #2</v>
      </c>
      <c r="O387" t="str">
        <f>VLOOKUP(B387,'SALARY DETALES'!$B$2:$D$475,3,0)</f>
        <v>OT</v>
      </c>
      <c r="Q387" t="str">
        <f>VLOOKUP(B387,'MASTER DATA SLT'!$C$4:$F$544,4,0)</f>
        <v>2025-03-07</v>
      </c>
      <c r="R387">
        <f>VLOOKUP(B387,'MASTER DATA SLT'!$C$4:$G$544,5,0)</f>
        <v>0</v>
      </c>
      <c r="U387">
        <f>VLOOKUP(B387,'SALARY DETALES'!$B$2:$S$475,18,0)</f>
        <v>25000</v>
      </c>
    </row>
    <row r="388" spans="1:21" x14ac:dyDescent="0.3">
      <c r="A388">
        <v>387</v>
      </c>
      <c r="B388">
        <v>80541</v>
      </c>
      <c r="C388" t="s">
        <v>1953</v>
      </c>
      <c r="D388" t="s">
        <v>1869</v>
      </c>
      <c r="E388" t="str">
        <f>VLOOKUP(B388,'MASTER DATA SLT'!$C$4:$H$544,6,0)</f>
        <v>BUS</v>
      </c>
      <c r="F388" t="str">
        <f>VLOOKUP(B388,'MASTER DATA SLT'!$C$4:$F$544,4,0)</f>
        <v>2024-12-16</v>
      </c>
      <c r="G388" t="str">
        <f>VLOOKUP(B388,'MASTER DATA SLT'!$C$4:$P$544,14,0)</f>
        <v>71102-3672548</v>
      </c>
      <c r="I388" t="str">
        <f>VLOOKUP(B388,'MASTER DATA SLT'!$C$4:$Q$544,15,0)</f>
        <v>03555400580</v>
      </c>
      <c r="J388">
        <f>VLOOKUP(B388,'MASTER DATA SLT'!$C$4:$R$544,16,0)</f>
        <v>0</v>
      </c>
      <c r="K388">
        <f>VLOOKUP(B388,'MASTER DATA SLT'!$C$4:$S$544,17,0)</f>
        <v>0</v>
      </c>
      <c r="N388" t="str">
        <f>VLOOKUP(B388,'SALARY DETALES'!$B$2:$C$475,2,0)</f>
        <v>Section E</v>
      </c>
      <c r="O388" t="str">
        <f>VLOOKUP(B388,'SALARY DETALES'!$B$2:$D$475,3,0)</f>
        <v>BW/E</v>
      </c>
      <c r="Q388" t="str">
        <f>VLOOKUP(B388,'MASTER DATA SLT'!$C$4:$F$544,4,0)</f>
        <v>2024-12-16</v>
      </c>
      <c r="R388">
        <f>VLOOKUP(B388,'MASTER DATA SLT'!$C$4:$G$544,5,0)</f>
        <v>0</v>
      </c>
      <c r="U388">
        <f>VLOOKUP(B388,'SALARY DETALES'!$B$2:$S$475,18,0)</f>
        <v>16000</v>
      </c>
    </row>
    <row r="389" spans="1:21" x14ac:dyDescent="0.3">
      <c r="A389">
        <v>388</v>
      </c>
      <c r="B389">
        <v>80617</v>
      </c>
      <c r="C389" t="s">
        <v>1900</v>
      </c>
      <c r="D389" t="s">
        <v>2091</v>
      </c>
      <c r="E389" t="str">
        <f>VLOOKUP(B389,'MASTER DATA SLT'!$C$4:$H$544,6,0)</f>
        <v>BUS</v>
      </c>
      <c r="F389" t="str">
        <f>VLOOKUP(B389,'MASTER DATA SLT'!$C$4:$F$544,4,0)</f>
        <v>2025-02-02</v>
      </c>
      <c r="G389" t="str">
        <f>VLOOKUP(B389,'MASTER DATA SLT'!$C$4:$P$544,14,0)</f>
        <v>71601-0618292</v>
      </c>
      <c r="I389" t="str">
        <f>VLOOKUP(B389,'MASTER DATA SLT'!$C$4:$Q$544,15,0)</f>
        <v>03185414373</v>
      </c>
      <c r="J389">
        <f>VLOOKUP(B389,'MASTER DATA SLT'!$C$4:$R$544,16,0)</f>
        <v>0</v>
      </c>
      <c r="K389">
        <f>VLOOKUP(B389,'MASTER DATA SLT'!$C$4:$S$544,17,0)</f>
        <v>0</v>
      </c>
      <c r="N389" t="str">
        <f>VLOOKUP(B389,'SALARY DETALES'!$B$2:$C$475,2,0)</f>
        <v>Section E</v>
      </c>
      <c r="O389" t="str">
        <f>VLOOKUP(B389,'SALARY DETALES'!$B$2:$D$475,3,0)</f>
        <v>BW/E</v>
      </c>
      <c r="Q389" t="str">
        <f>VLOOKUP(B389,'MASTER DATA SLT'!$C$4:$F$544,4,0)</f>
        <v>2025-02-02</v>
      </c>
      <c r="R389">
        <f>VLOOKUP(B389,'MASTER DATA SLT'!$C$4:$G$544,5,0)</f>
        <v>0</v>
      </c>
      <c r="U389">
        <f>VLOOKUP(B389,'SALARY DETALES'!$B$2:$S$475,18,0)</f>
        <v>16000</v>
      </c>
    </row>
    <row r="390" spans="1:21" x14ac:dyDescent="0.3">
      <c r="A390">
        <v>389</v>
      </c>
      <c r="B390">
        <v>29004</v>
      </c>
      <c r="C390" t="s">
        <v>1886</v>
      </c>
      <c r="D390" t="s">
        <v>1869</v>
      </c>
      <c r="E390" t="str">
        <f>VLOOKUP(B390,'MASTER DATA SLT'!$C$4:$H$544,6,0)</f>
        <v>NO</v>
      </c>
      <c r="F390" t="str">
        <f>VLOOKUP(B390,'MASTER DATA SLT'!$C$4:$F$544,4,0)</f>
        <v>2024-03-15</v>
      </c>
      <c r="G390">
        <f>VLOOKUP(B390,'MASTER DATA SLT'!$C$4:$P$544,14,0)</f>
        <v>0</v>
      </c>
      <c r="I390">
        <f>VLOOKUP(B390,'MASTER DATA SLT'!$C$4:$Q$544,15,0)</f>
        <v>0</v>
      </c>
      <c r="J390">
        <f>VLOOKUP(B390,'MASTER DATA SLT'!$C$4:$R$544,16,0)</f>
        <v>0</v>
      </c>
      <c r="K390">
        <f>VLOOKUP(B390,'MASTER DATA SLT'!$C$4:$S$544,17,0)</f>
        <v>0</v>
      </c>
      <c r="N390" t="str">
        <f>VLOOKUP(B390,'SALARY DETALES'!$B$2:$C$475,2,0)</f>
        <v>Section E</v>
      </c>
      <c r="O390" t="str">
        <f>VLOOKUP(B390,'SALARY DETALES'!$B$2:$D$475,3,0)</f>
        <v>CAPTAIN</v>
      </c>
      <c r="Q390" t="str">
        <f>VLOOKUP(B390,'MASTER DATA SLT'!$C$4:$F$544,4,0)</f>
        <v>2024-03-15</v>
      </c>
      <c r="R390">
        <f>VLOOKUP(B390,'MASTER DATA SLT'!$C$4:$G$544,5,0)</f>
        <v>405</v>
      </c>
      <c r="U390">
        <f>VLOOKUP(B390,'SALARY DETALES'!$B$2:$S$475,18,0)</f>
        <v>30000</v>
      </c>
    </row>
    <row r="391" spans="1:21" x14ac:dyDescent="0.3">
      <c r="A391">
        <v>390</v>
      </c>
      <c r="B391">
        <v>80389</v>
      </c>
      <c r="C391" t="s">
        <v>2092</v>
      </c>
      <c r="D391" t="s">
        <v>2093</v>
      </c>
      <c r="E391" t="str">
        <f>VLOOKUP(B391,'MASTER DATA SLT'!$C$4:$H$544,6,0)</f>
        <v>BUS</v>
      </c>
      <c r="F391" t="str">
        <f>VLOOKUP(B391,'MASTER DATA SLT'!$C$4:$F$544,4,0)</f>
        <v>2024-09-20</v>
      </c>
      <c r="G391" t="str">
        <f>VLOOKUP(B391,'MASTER DATA SLT'!$C$4:$P$544,14,0)</f>
        <v>71601-0585309</v>
      </c>
      <c r="I391" t="str">
        <f>VLOOKUP(B391,'MASTER DATA SLT'!$C$4:$Q$544,15,0)</f>
        <v>03556213735</v>
      </c>
      <c r="J391">
        <f>VLOOKUP(B391,'MASTER DATA SLT'!$C$4:$R$544,16,0)</f>
        <v>0</v>
      </c>
      <c r="K391">
        <f>VLOOKUP(B391,'MASTER DATA SLT'!$C$4:$S$544,17,0)</f>
        <v>0</v>
      </c>
      <c r="N391" t="str">
        <f>VLOOKUP(B391,'SALARY DETALES'!$B$2:$C$475,2,0)</f>
        <v>Section E</v>
      </c>
      <c r="O391" t="str">
        <f>VLOOKUP(B391,'SALARY DETALES'!$B$2:$D$475,3,0)</f>
        <v>BW/E</v>
      </c>
      <c r="Q391" t="str">
        <f>VLOOKUP(B391,'MASTER DATA SLT'!$C$4:$F$544,4,0)</f>
        <v>2024-09-20</v>
      </c>
      <c r="R391">
        <f>VLOOKUP(B391,'MASTER DATA SLT'!$C$4:$G$544,5,0)</f>
        <v>0</v>
      </c>
      <c r="U391">
        <f>VLOOKUP(B391,'SALARY DETALES'!$B$2:$S$475,18,0)</f>
        <v>16000</v>
      </c>
    </row>
    <row r="392" spans="1:21" x14ac:dyDescent="0.3">
      <c r="A392">
        <v>391</v>
      </c>
      <c r="B392">
        <v>80444</v>
      </c>
      <c r="C392" t="s">
        <v>2094</v>
      </c>
      <c r="D392" t="s">
        <v>2141</v>
      </c>
      <c r="E392" t="str">
        <f>VLOOKUP(B392,'MASTER DATA SLT'!$C$4:$H$544,6,0)</f>
        <v>BUS</v>
      </c>
      <c r="F392" t="str">
        <f>VLOOKUP(B392,'MASTER DATA SLT'!$C$4:$F$544,4,0)</f>
        <v>2025-04-15</v>
      </c>
      <c r="G392" t="str">
        <f>VLOOKUP(B392,'MASTER DATA SLT'!$C$4:$P$544,14,0)</f>
        <v>71202-3962119</v>
      </c>
      <c r="I392" t="str">
        <f>VLOOKUP(B392,'MASTER DATA SLT'!$C$4:$Q$544,15,0)</f>
        <v>03424408171</v>
      </c>
      <c r="J392">
        <f>VLOOKUP(B392,'MASTER DATA SLT'!$C$4:$R$544,16,0)</f>
        <v>0</v>
      </c>
      <c r="K392">
        <f>VLOOKUP(B392,'MASTER DATA SLT'!$C$4:$S$544,17,0)</f>
        <v>0</v>
      </c>
      <c r="N392" t="str">
        <f>VLOOKUP(B392,'SALARY DETALES'!$B$2:$C$475,2,0)</f>
        <v>Section E</v>
      </c>
      <c r="O392" t="str">
        <f>VLOOKUP(B392,'SALARY DETALES'!$B$2:$D$475,3,0)</f>
        <v>BW/F</v>
      </c>
      <c r="Q392" t="str">
        <f>VLOOKUP(B392,'MASTER DATA SLT'!$C$4:$F$544,4,0)</f>
        <v>2025-04-15</v>
      </c>
      <c r="R392">
        <f>VLOOKUP(B392,'MASTER DATA SLT'!$C$4:$G$544,5,0)</f>
        <v>0</v>
      </c>
      <c r="U392">
        <f>VLOOKUP(B392,'SALARY DETALES'!$B$2:$S$475,18,0)</f>
        <v>16000</v>
      </c>
    </row>
    <row r="393" spans="1:21" x14ac:dyDescent="0.3">
      <c r="A393">
        <v>392</v>
      </c>
      <c r="B393">
        <v>80551</v>
      </c>
      <c r="C393" t="s">
        <v>604</v>
      </c>
      <c r="D393" t="s">
        <v>2137</v>
      </c>
      <c r="E393" t="str">
        <f>VLOOKUP(B393,'MASTER DATA SLT'!$C$4:$H$544,6,0)</f>
        <v>BUS</v>
      </c>
      <c r="F393" t="str">
        <f>VLOOKUP(B393,'MASTER DATA SLT'!$C$4:$F$544,4,0)</f>
        <v>2024-12-19</v>
      </c>
      <c r="G393" t="str">
        <f>VLOOKUP(B393,'MASTER DATA SLT'!$C$4:$P$544,14,0)</f>
        <v>71202-7964057</v>
      </c>
      <c r="I393" t="str">
        <f>VLOOKUP(B393,'MASTER DATA SLT'!$C$4:$Q$544,15,0)</f>
        <v>0341-1591660</v>
      </c>
      <c r="J393">
        <f>VLOOKUP(B393,'MASTER DATA SLT'!$C$4:$R$544,16,0)</f>
        <v>0</v>
      </c>
      <c r="K393">
        <f>VLOOKUP(B393,'MASTER DATA SLT'!$C$4:$S$544,17,0)</f>
        <v>0</v>
      </c>
      <c r="N393" t="str">
        <f>VLOOKUP(B393,'SALARY DETALES'!$B$2:$C$475,2,0)</f>
        <v>Section E</v>
      </c>
      <c r="O393" t="str">
        <f>VLOOKUP(B393,'SALARY DETALES'!$B$2:$D$475,3,0)</f>
        <v>B/W</v>
      </c>
      <c r="Q393" t="str">
        <f>VLOOKUP(B393,'MASTER DATA SLT'!$C$4:$F$544,4,0)</f>
        <v>2024-12-19</v>
      </c>
      <c r="R393">
        <f>VLOOKUP(B393,'MASTER DATA SLT'!$C$4:$G$544,5,0)</f>
        <v>0</v>
      </c>
      <c r="U393">
        <f>VLOOKUP(B393,'SALARY DETALES'!$B$2:$S$475,18,0)</f>
        <v>16000</v>
      </c>
    </row>
    <row r="394" spans="1:21" x14ac:dyDescent="0.3">
      <c r="A394">
        <v>393</v>
      </c>
      <c r="B394">
        <v>80566</v>
      </c>
      <c r="C394" t="s">
        <v>2079</v>
      </c>
      <c r="D394" t="s">
        <v>2140</v>
      </c>
      <c r="E394" t="str">
        <f>VLOOKUP(B394,'MASTER DATA SLT'!$C$4:$H$544,6,0)</f>
        <v>BUS</v>
      </c>
      <c r="F394" t="str">
        <f>VLOOKUP(B394,'MASTER DATA SLT'!$C$4:$F$544,4,0)</f>
        <v>2024-12-24</v>
      </c>
      <c r="G394">
        <f>VLOOKUP(B394,'MASTER DATA SLT'!$C$4:$P$544,14,0)</f>
        <v>0</v>
      </c>
      <c r="I394" t="str">
        <f>VLOOKUP(B394,'MASTER DATA SLT'!$C$4:$Q$544,15,0)</f>
        <v>0355-3938408</v>
      </c>
      <c r="J394">
        <f>VLOOKUP(B394,'MASTER DATA SLT'!$C$4:$R$544,16,0)</f>
        <v>0</v>
      </c>
      <c r="K394">
        <f>VLOOKUP(B394,'MASTER DATA SLT'!$C$4:$S$544,17,0)</f>
        <v>0</v>
      </c>
      <c r="N394" t="str">
        <f>VLOOKUP(B394,'SALARY DETALES'!$B$2:$C$475,2,0)</f>
        <v>Section E</v>
      </c>
      <c r="O394" t="str">
        <f>VLOOKUP(B394,'SALARY DETALES'!$B$2:$D$475,3,0)</f>
        <v>B/W</v>
      </c>
      <c r="Q394" t="str">
        <f>VLOOKUP(B394,'MASTER DATA SLT'!$C$4:$F$544,4,0)</f>
        <v>2024-12-24</v>
      </c>
      <c r="R394">
        <f>VLOOKUP(B394,'MASTER DATA SLT'!$C$4:$G$544,5,0)</f>
        <v>0</v>
      </c>
      <c r="U394">
        <f>VLOOKUP(B394,'SALARY DETALES'!$B$2:$S$475,18,0)</f>
        <v>16000</v>
      </c>
    </row>
    <row r="395" spans="1:21" x14ac:dyDescent="0.3">
      <c r="A395">
        <v>394</v>
      </c>
      <c r="B395">
        <v>80679</v>
      </c>
      <c r="C395" t="s">
        <v>2095</v>
      </c>
      <c r="D395" t="s">
        <v>1988</v>
      </c>
      <c r="E395" t="str">
        <f>VLOOKUP(B395,'MASTER DATA SLT'!$C$4:$H$544,6,0)</f>
        <v>BUS</v>
      </c>
      <c r="F395" t="str">
        <f>VLOOKUP(B395,'MASTER DATA SLT'!$C$4:$F$544,4,0)</f>
        <v>2025-03-01</v>
      </c>
      <c r="G395">
        <f>VLOOKUP(B395,'MASTER DATA SLT'!$C$4:$P$544,14,0)</f>
        <v>0</v>
      </c>
      <c r="I395">
        <f>VLOOKUP(B395,'MASTER DATA SLT'!$C$4:$Q$544,15,0)</f>
        <v>0</v>
      </c>
      <c r="J395">
        <f>VLOOKUP(B395,'MASTER DATA SLT'!$C$4:$R$544,16,0)</f>
        <v>0</v>
      </c>
      <c r="K395">
        <f>VLOOKUP(B395,'MASTER DATA SLT'!$C$4:$S$544,17,0)</f>
        <v>0</v>
      </c>
      <c r="N395" t="str">
        <f>VLOOKUP(B395,'SALARY DETALES'!$B$2:$C$475,2,0)</f>
        <v>Section E</v>
      </c>
      <c r="O395" t="str">
        <f>VLOOKUP(B395,'SALARY DETALES'!$B$2:$D$475,3,0)</f>
        <v>B/W</v>
      </c>
      <c r="Q395" t="str">
        <f>VLOOKUP(B395,'MASTER DATA SLT'!$C$4:$F$544,4,0)</f>
        <v>2025-03-01</v>
      </c>
      <c r="R395">
        <f>VLOOKUP(B395,'MASTER DATA SLT'!$C$4:$G$544,5,0)</f>
        <v>0</v>
      </c>
      <c r="U395">
        <f>VLOOKUP(B395,'SALARY DETALES'!$B$2:$S$475,18,0)</f>
        <v>16000</v>
      </c>
    </row>
    <row r="396" spans="1:21" x14ac:dyDescent="0.3">
      <c r="A396">
        <v>395</v>
      </c>
      <c r="B396">
        <v>80707</v>
      </c>
      <c r="C396" t="s">
        <v>2096</v>
      </c>
      <c r="D396" t="s">
        <v>1883</v>
      </c>
      <c r="E396" t="str">
        <f>VLOOKUP(B396,'MASTER DATA SLT'!$C$4:$H$544,6,0)</f>
        <v>BUS</v>
      </c>
      <c r="F396" t="str">
        <f>VLOOKUP(B396,'MASTER DATA SLT'!$C$4:$F$544,4,0)</f>
        <v>2025-03-17</v>
      </c>
      <c r="G396">
        <f>VLOOKUP(B396,'MASTER DATA SLT'!$C$4:$P$544,14,0)</f>
        <v>0</v>
      </c>
      <c r="I396">
        <f>VLOOKUP(B396,'MASTER DATA SLT'!$C$4:$Q$544,15,0)</f>
        <v>0</v>
      </c>
      <c r="J396">
        <f>VLOOKUP(B396,'MASTER DATA SLT'!$C$4:$R$544,16,0)</f>
        <v>0</v>
      </c>
      <c r="K396">
        <f>VLOOKUP(B396,'MASTER DATA SLT'!$C$4:$S$544,17,0)</f>
        <v>0</v>
      </c>
      <c r="N396" t="str">
        <f>VLOOKUP(B396,'SALARY DETALES'!$B$2:$C$475,2,0)</f>
        <v>Section E</v>
      </c>
      <c r="O396" t="str">
        <f>VLOOKUP(B396,'SALARY DETALES'!$B$2:$D$475,3,0)</f>
        <v>B/W</v>
      </c>
      <c r="Q396" t="str">
        <f>VLOOKUP(B396,'MASTER DATA SLT'!$C$4:$F$544,4,0)</f>
        <v>2025-03-17</v>
      </c>
      <c r="R396">
        <f>VLOOKUP(B396,'MASTER DATA SLT'!$C$4:$G$544,5,0)</f>
        <v>0</v>
      </c>
      <c r="U396">
        <f>VLOOKUP(B396,'SALARY DETALES'!$B$2:$S$475,18,0)</f>
        <v>22000</v>
      </c>
    </row>
    <row r="397" spans="1:21" x14ac:dyDescent="0.3">
      <c r="A397">
        <v>396</v>
      </c>
      <c r="B397">
        <v>80708</v>
      </c>
      <c r="C397" t="s">
        <v>2097</v>
      </c>
      <c r="D397" t="s">
        <v>1874</v>
      </c>
      <c r="E397" t="str">
        <f>VLOOKUP(B397,'MASTER DATA SLT'!$C$4:$H$544,6,0)</f>
        <v>BUS</v>
      </c>
      <c r="F397" t="str">
        <f>VLOOKUP(B397,'MASTER DATA SLT'!$C$4:$F$544,4,0)</f>
        <v>2025-03-17</v>
      </c>
      <c r="G397">
        <f>VLOOKUP(B397,'MASTER DATA SLT'!$C$4:$P$544,14,0)</f>
        <v>0</v>
      </c>
      <c r="I397">
        <f>VLOOKUP(B397,'MASTER DATA SLT'!$C$4:$Q$544,15,0)</f>
        <v>0</v>
      </c>
      <c r="J397">
        <f>VLOOKUP(B397,'MASTER DATA SLT'!$C$4:$R$544,16,0)</f>
        <v>0</v>
      </c>
      <c r="K397">
        <f>VLOOKUP(B397,'MASTER DATA SLT'!$C$4:$S$544,17,0)</f>
        <v>0</v>
      </c>
      <c r="N397" t="str">
        <f>VLOOKUP(B397,'SALARY DETALES'!$B$2:$C$475,2,0)</f>
        <v>Section E</v>
      </c>
      <c r="O397" t="str">
        <f>VLOOKUP(B397,'SALARY DETALES'!$B$2:$D$475,3,0)</f>
        <v>O/T</v>
      </c>
      <c r="Q397" t="str">
        <f>VLOOKUP(B397,'MASTER DATA SLT'!$C$4:$F$544,4,0)</f>
        <v>2025-03-17</v>
      </c>
      <c r="R397">
        <f>VLOOKUP(B397,'MASTER DATA SLT'!$C$4:$G$544,5,0)</f>
        <v>0</v>
      </c>
      <c r="U397">
        <f>VLOOKUP(B397,'SALARY DETALES'!$B$2:$S$475,18,0)</f>
        <v>25000</v>
      </c>
    </row>
    <row r="398" spans="1:21" x14ac:dyDescent="0.3">
      <c r="A398">
        <v>397</v>
      </c>
      <c r="B398">
        <v>80710</v>
      </c>
      <c r="C398" t="s">
        <v>2024</v>
      </c>
      <c r="D398" t="s">
        <v>2147</v>
      </c>
      <c r="E398" t="str">
        <f>VLOOKUP(B398,'MASTER DATA SLT'!$C$4:$H$544,6,0)</f>
        <v>BUS</v>
      </c>
      <c r="F398" t="str">
        <f>VLOOKUP(B398,'MASTER DATA SLT'!$C$4:$F$544,4,0)</f>
        <v>2025-03-12</v>
      </c>
      <c r="G398">
        <f>VLOOKUP(B398,'MASTER DATA SLT'!$C$4:$P$544,14,0)</f>
        <v>0</v>
      </c>
      <c r="I398">
        <f>VLOOKUP(B398,'MASTER DATA SLT'!$C$4:$Q$544,15,0)</f>
        <v>0</v>
      </c>
      <c r="J398">
        <f>VLOOKUP(B398,'MASTER DATA SLT'!$C$4:$R$544,16,0)</f>
        <v>0</v>
      </c>
      <c r="K398">
        <f>VLOOKUP(B398,'MASTER DATA SLT'!$C$4:$S$544,17,0)</f>
        <v>0</v>
      </c>
      <c r="N398" t="str">
        <f>VLOOKUP(B398,'SALARY DETALES'!$B$2:$C$475,2,0)</f>
        <v>Section E</v>
      </c>
      <c r="O398" t="str">
        <f>VLOOKUP(B398,'SALARY DETALES'!$B$2:$D$475,3,0)</f>
        <v>O/T</v>
      </c>
      <c r="Q398" t="str">
        <f>VLOOKUP(B398,'MASTER DATA SLT'!$C$4:$F$544,4,0)</f>
        <v>2025-03-12</v>
      </c>
      <c r="R398">
        <f>VLOOKUP(B398,'MASTER DATA SLT'!$C$4:$G$544,5,0)</f>
        <v>0</v>
      </c>
      <c r="U398">
        <f>VLOOKUP(B398,'SALARY DETALES'!$B$2:$S$475,18,0)</f>
        <v>25000</v>
      </c>
    </row>
    <row r="399" spans="1:21" x14ac:dyDescent="0.3">
      <c r="A399">
        <v>398</v>
      </c>
      <c r="B399">
        <v>80732</v>
      </c>
      <c r="C399" t="s">
        <v>182</v>
      </c>
      <c r="D399" t="s">
        <v>2168</v>
      </c>
      <c r="E399" t="str">
        <f>VLOOKUP(B399,'MASTER DATA SLT'!$C$4:$H$544,6,0)</f>
        <v>BUS</v>
      </c>
      <c r="F399" t="str">
        <f>VLOOKUP(B399,'MASTER DATA SLT'!$C$4:$F$544,4,0)</f>
        <v>2025-03-26</v>
      </c>
      <c r="G399">
        <f>VLOOKUP(B399,'MASTER DATA SLT'!$C$4:$P$544,14,0)</f>
        <v>0</v>
      </c>
      <c r="I399" t="str">
        <f>VLOOKUP(B399,'MASTER DATA SLT'!$C$4:$Q$544,15,0)</f>
        <v>0335-3653479</v>
      </c>
      <c r="J399">
        <f>VLOOKUP(B399,'MASTER DATA SLT'!$C$4:$R$544,16,0)</f>
        <v>0</v>
      </c>
      <c r="K399">
        <f>VLOOKUP(B399,'MASTER DATA SLT'!$C$4:$S$544,17,0)</f>
        <v>0</v>
      </c>
      <c r="N399" t="str">
        <f>VLOOKUP(B399,'SALARY DETALES'!$B$2:$C$475,2,0)</f>
        <v>Section E</v>
      </c>
      <c r="O399" t="str">
        <f>VLOOKUP(B399,'SALARY DETALES'!$B$2:$D$475,3,0)</f>
        <v>O/T</v>
      </c>
      <c r="Q399" t="str">
        <f>VLOOKUP(B399,'MASTER DATA SLT'!$C$4:$F$544,4,0)</f>
        <v>2025-03-26</v>
      </c>
      <c r="R399">
        <f>VLOOKUP(B399,'MASTER DATA SLT'!$C$4:$G$544,5,0)</f>
        <v>0</v>
      </c>
      <c r="U399">
        <f>VLOOKUP(B399,'SALARY DETALES'!$B$2:$S$475,18,0)</f>
        <v>25000</v>
      </c>
    </row>
    <row r="400" spans="1:21" x14ac:dyDescent="0.3">
      <c r="A400">
        <v>399</v>
      </c>
      <c r="B400">
        <v>80747</v>
      </c>
      <c r="C400" t="s">
        <v>2098</v>
      </c>
      <c r="D400" t="s">
        <v>2099</v>
      </c>
      <c r="E400" t="str">
        <f>VLOOKUP(B400,'MASTER DATA SLT'!$C$4:$H$544,6,0)</f>
        <v>BUS</v>
      </c>
      <c r="F400" t="str">
        <f>VLOOKUP(B400,'MASTER DATA SLT'!$C$4:$F$544,4,0)</f>
        <v>2025-03-31</v>
      </c>
      <c r="G400">
        <f>VLOOKUP(B400,'MASTER DATA SLT'!$C$4:$P$544,14,0)</f>
        <v>0</v>
      </c>
      <c r="I400" t="str">
        <f>VLOOKUP(B400,'MASTER DATA SLT'!$C$4:$Q$544,15,0)</f>
        <v>0340-2656515</v>
      </c>
      <c r="J400">
        <f>VLOOKUP(B400,'MASTER DATA SLT'!$C$4:$R$544,16,0)</f>
        <v>0</v>
      </c>
      <c r="K400">
        <f>VLOOKUP(B400,'MASTER DATA SLT'!$C$4:$S$544,17,0)</f>
        <v>0</v>
      </c>
      <c r="N400" t="str">
        <f>VLOOKUP(B400,'SALARY DETALES'!$B$2:$C$475,2,0)</f>
        <v>Section E</v>
      </c>
      <c r="O400" t="str">
        <f>VLOOKUP(B400,'SALARY DETALES'!$B$2:$D$475,3,0)</f>
        <v>B/W</v>
      </c>
      <c r="Q400" t="str">
        <f>VLOOKUP(B400,'MASTER DATA SLT'!$C$4:$F$544,4,0)</f>
        <v>2025-03-31</v>
      </c>
      <c r="R400">
        <f>VLOOKUP(B400,'MASTER DATA SLT'!$C$4:$G$544,5,0)</f>
        <v>0</v>
      </c>
      <c r="U400">
        <f>VLOOKUP(B400,'SALARY DETALES'!$B$2:$S$475,18,0)</f>
        <v>16000</v>
      </c>
    </row>
    <row r="401" spans="1:21" x14ac:dyDescent="0.3">
      <c r="A401">
        <v>400</v>
      </c>
      <c r="B401">
        <v>80771</v>
      </c>
      <c r="C401" t="s">
        <v>2079</v>
      </c>
      <c r="D401" t="s">
        <v>1846</v>
      </c>
      <c r="E401" t="str">
        <f>VLOOKUP(B401,'MASTER DATA SLT'!$C$4:$H$544,6,0)</f>
        <v>BUS</v>
      </c>
      <c r="F401" t="str">
        <f>VLOOKUP(B401,'MASTER DATA SLT'!$C$4:$F$544,4,0)</f>
        <v>2025-04-16</v>
      </c>
      <c r="G401">
        <f>VLOOKUP(B401,'MASTER DATA SLT'!$C$4:$P$544,14,0)</f>
        <v>0</v>
      </c>
      <c r="I401">
        <f>VLOOKUP(B401,'MASTER DATA SLT'!$C$4:$Q$544,15,0)</f>
        <v>0</v>
      </c>
      <c r="J401">
        <f>VLOOKUP(B401,'MASTER DATA SLT'!$C$4:$R$544,16,0)</f>
        <v>0</v>
      </c>
      <c r="K401">
        <f>VLOOKUP(B401,'MASTER DATA SLT'!$C$4:$S$544,17,0)</f>
        <v>0</v>
      </c>
      <c r="N401" t="str">
        <f>VLOOKUP(B401,'SALARY DETALES'!$B$2:$C$475,2,0)</f>
        <v>Section E</v>
      </c>
      <c r="O401" t="str">
        <f>VLOOKUP(B401,'SALARY DETALES'!$B$2:$D$475,3,0)</f>
        <v>B/W</v>
      </c>
      <c r="Q401" t="str">
        <f>VLOOKUP(B401,'MASTER DATA SLT'!$C$4:$F$544,4,0)</f>
        <v>2025-04-16</v>
      </c>
      <c r="R401">
        <f>VLOOKUP(B401,'MASTER DATA SLT'!$C$4:$G$544,5,0)</f>
        <v>0</v>
      </c>
      <c r="U401">
        <f>VLOOKUP(B401,'SALARY DETALES'!$B$2:$S$475,18,0)</f>
        <v>16000</v>
      </c>
    </row>
    <row r="402" spans="1:21" x14ac:dyDescent="0.3">
      <c r="A402">
        <v>401</v>
      </c>
      <c r="B402">
        <v>80772</v>
      </c>
      <c r="C402" t="s">
        <v>1919</v>
      </c>
      <c r="D402" t="s">
        <v>1883</v>
      </c>
      <c r="E402" t="str">
        <f>VLOOKUP(B402,'MASTER DATA SLT'!$C$4:$H$544,6,0)</f>
        <v>BUS</v>
      </c>
      <c r="F402" t="str">
        <f>VLOOKUP(B402,'MASTER DATA SLT'!$C$4:$F$544,4,0)</f>
        <v>2025-04-17</v>
      </c>
      <c r="G402">
        <f>VLOOKUP(B402,'MASTER DATA SLT'!$C$4:$P$544,14,0)</f>
        <v>0</v>
      </c>
      <c r="I402">
        <f>VLOOKUP(B402,'MASTER DATA SLT'!$C$4:$Q$544,15,0)</f>
        <v>0</v>
      </c>
      <c r="J402">
        <f>VLOOKUP(B402,'MASTER DATA SLT'!$C$4:$R$544,16,0)</f>
        <v>0</v>
      </c>
      <c r="K402">
        <f>VLOOKUP(B402,'MASTER DATA SLT'!$C$4:$S$544,17,0)</f>
        <v>0</v>
      </c>
      <c r="N402" t="str">
        <f>VLOOKUP(B402,'SALARY DETALES'!$B$2:$C$475,2,0)</f>
        <v>Section E</v>
      </c>
      <c r="O402" t="str">
        <f>VLOOKUP(B402,'SALARY DETALES'!$B$2:$D$475,3,0)</f>
        <v>B/W</v>
      </c>
      <c r="Q402" t="str">
        <f>VLOOKUP(B402,'MASTER DATA SLT'!$C$4:$F$544,4,0)</f>
        <v>2025-04-17</v>
      </c>
      <c r="R402">
        <f>VLOOKUP(B402,'MASTER DATA SLT'!$C$4:$G$544,5,0)</f>
        <v>0</v>
      </c>
      <c r="U402">
        <f>VLOOKUP(B402,'SALARY DETALES'!$B$2:$S$475,18,0)</f>
        <v>16000</v>
      </c>
    </row>
    <row r="403" spans="1:21" x14ac:dyDescent="0.3">
      <c r="A403">
        <v>402</v>
      </c>
      <c r="B403">
        <v>80799</v>
      </c>
      <c r="C403" t="s">
        <v>2100</v>
      </c>
      <c r="D403" t="s">
        <v>1928</v>
      </c>
      <c r="E403" t="str">
        <f>VLOOKUP(B403,'MASTER DATA SLT'!$C$4:$H$544,6,0)</f>
        <v>BUS</v>
      </c>
      <c r="F403" t="str">
        <f>VLOOKUP(B403,'MASTER DATA SLT'!$C$4:$F$544,4,0)</f>
        <v>2025-04-25</v>
      </c>
      <c r="G403">
        <f>VLOOKUP(B403,'MASTER DATA SLT'!$C$4:$P$544,14,0)</f>
        <v>0</v>
      </c>
      <c r="I403">
        <f>VLOOKUP(B403,'MASTER DATA SLT'!$C$4:$Q$544,15,0)</f>
        <v>0</v>
      </c>
      <c r="J403">
        <f>VLOOKUP(B403,'MASTER DATA SLT'!$C$4:$R$544,16,0)</f>
        <v>0</v>
      </c>
      <c r="K403">
        <f>VLOOKUP(B403,'MASTER DATA SLT'!$C$4:$S$544,17,0)</f>
        <v>0</v>
      </c>
      <c r="N403" t="str">
        <f>VLOOKUP(B403,'SALARY DETALES'!$B$2:$C$475,2,0)</f>
        <v>Section E</v>
      </c>
      <c r="O403" t="str">
        <f>VLOOKUP(B403,'SALARY DETALES'!$B$2:$D$475,3,0)</f>
        <v>B/W</v>
      </c>
      <c r="Q403" t="str">
        <f>VLOOKUP(B403,'MASTER DATA SLT'!$C$4:$F$544,4,0)</f>
        <v>2025-04-25</v>
      </c>
      <c r="R403">
        <f>VLOOKUP(B403,'MASTER DATA SLT'!$C$4:$G$544,5,0)</f>
        <v>0</v>
      </c>
      <c r="U403">
        <f>VLOOKUP(B403,'SALARY DETALES'!$B$2:$S$475,18,0)</f>
        <v>16000</v>
      </c>
    </row>
    <row r="404" spans="1:21" x14ac:dyDescent="0.3">
      <c r="A404">
        <v>403</v>
      </c>
      <c r="B404">
        <v>29104</v>
      </c>
      <c r="C404" t="s">
        <v>2101</v>
      </c>
      <c r="D404" t="s">
        <v>1954</v>
      </c>
      <c r="E404" t="str">
        <f>VLOOKUP(B404,'MASTER DATA SLT'!$C$4:$H$544,6,0)</f>
        <v>BUS</v>
      </c>
      <c r="F404" t="str">
        <f>VLOOKUP(B404,'MASTER DATA SLT'!$C$4:$F$544,4,0)</f>
        <v>2022-05-26</v>
      </c>
      <c r="G404">
        <f>VLOOKUP(B404,'MASTER DATA SLT'!$C$4:$P$544,14,0)</f>
        <v>0</v>
      </c>
      <c r="I404">
        <f>VLOOKUP(B404,'MASTER DATA SLT'!$C$4:$Q$544,15,0)</f>
        <v>0</v>
      </c>
      <c r="J404">
        <f>VLOOKUP(B404,'MASTER DATA SLT'!$C$4:$R$544,16,0)</f>
        <v>0</v>
      </c>
      <c r="K404">
        <f>VLOOKUP(B404,'MASTER DATA SLT'!$C$4:$S$544,17,0)</f>
        <v>0</v>
      </c>
      <c r="N404" t="str">
        <f>VLOOKUP(B404,'SALARY DETALES'!$B$2:$C$475,2,0)</f>
        <v>Section E#2</v>
      </c>
      <c r="O404" t="str">
        <f>VLOOKUP(B404,'SALARY DETALES'!$B$2:$D$475,3,0)</f>
        <v>OT</v>
      </c>
      <c r="Q404" t="str">
        <f>VLOOKUP(B404,'MASTER DATA SLT'!$C$4:$F$544,4,0)</f>
        <v>2022-05-26</v>
      </c>
      <c r="R404">
        <f>VLOOKUP(B404,'MASTER DATA SLT'!$C$4:$G$544,5,0)</f>
        <v>0</v>
      </c>
      <c r="U404">
        <f>VLOOKUP(B404,'SALARY DETALES'!$B$2:$S$475,18,0)</f>
        <v>25000</v>
      </c>
    </row>
    <row r="405" spans="1:21" x14ac:dyDescent="0.3">
      <c r="A405">
        <v>404</v>
      </c>
      <c r="B405">
        <v>30203</v>
      </c>
      <c r="C405" t="s">
        <v>1734</v>
      </c>
      <c r="D405" t="s">
        <v>1869</v>
      </c>
      <c r="E405" t="str">
        <f>VLOOKUP(B405,'MASTER DATA SLT'!$C$4:$H$544,6,0)</f>
        <v>BUS</v>
      </c>
      <c r="F405" t="str">
        <f>VLOOKUP(B405,'MASTER DATA SLT'!$C$4:$F$544,4,0)</f>
        <v>2024-10-27</v>
      </c>
      <c r="G405" t="str">
        <f>VLOOKUP(B405,'MASTER DATA SLT'!$C$4:$P$544,14,0)</f>
        <v>45301-8726290</v>
      </c>
      <c r="I405" t="str">
        <f>VLOOKUP(B405,'MASTER DATA SLT'!$C$4:$Q$544,15,0)</f>
        <v>0308-5607592</v>
      </c>
      <c r="J405">
        <f>VLOOKUP(B405,'MASTER DATA SLT'!$C$4:$R$544,16,0)</f>
        <v>0</v>
      </c>
      <c r="K405">
        <f>VLOOKUP(B405,'MASTER DATA SLT'!$C$4:$S$544,17,0)</f>
        <v>0</v>
      </c>
      <c r="N405" t="str">
        <f>VLOOKUP(B405,'SALARY DETALES'!$B$2:$C$475,2,0)</f>
        <v>Section E#2</v>
      </c>
      <c r="O405" t="str">
        <f>VLOOKUP(B405,'SALARY DETALES'!$B$2:$D$475,3,0)</f>
        <v>OT</v>
      </c>
      <c r="Q405" t="str">
        <f>VLOOKUP(B405,'MASTER DATA SLT'!$C$4:$F$544,4,0)</f>
        <v>2024-10-27</v>
      </c>
      <c r="R405">
        <f>VLOOKUP(B405,'MASTER DATA SLT'!$C$4:$G$544,5,0)</f>
        <v>0</v>
      </c>
      <c r="U405">
        <f>VLOOKUP(B405,'SALARY DETALES'!$B$2:$S$475,18,0)</f>
        <v>25000</v>
      </c>
    </row>
    <row r="406" spans="1:21" x14ac:dyDescent="0.3">
      <c r="A406">
        <v>405</v>
      </c>
      <c r="B406">
        <v>30212</v>
      </c>
      <c r="C406" t="s">
        <v>617</v>
      </c>
      <c r="D406" t="s">
        <v>2137</v>
      </c>
      <c r="E406" t="str">
        <f>VLOOKUP(B406,'MASTER DATA SLT'!$C$4:$H$544,6,0)</f>
        <v>BUS</v>
      </c>
      <c r="F406" t="str">
        <f>VLOOKUP(B406,'MASTER DATA SLT'!$C$4:$F$544,4,0)</f>
        <v>2024-11-08</v>
      </c>
      <c r="G406" t="str">
        <f>VLOOKUP(B406,'MASTER DATA SLT'!$C$4:$P$544,14,0)</f>
        <v>71202-6016931</v>
      </c>
      <c r="I406" t="str">
        <f>VLOOKUP(B406,'MASTER DATA SLT'!$C$4:$Q$544,15,0)</f>
        <v>0355-5575499</v>
      </c>
      <c r="J406">
        <f>VLOOKUP(B406,'MASTER DATA SLT'!$C$4:$R$544,16,0)</f>
        <v>0</v>
      </c>
      <c r="K406">
        <f>VLOOKUP(B406,'MASTER DATA SLT'!$C$4:$S$544,17,0)</f>
        <v>0</v>
      </c>
      <c r="N406" t="str">
        <f>VLOOKUP(B406,'SALARY DETALES'!$B$2:$C$475,2,0)</f>
        <v>Section E#2</v>
      </c>
      <c r="O406" t="str">
        <f>VLOOKUP(B406,'SALARY DETALES'!$B$2:$D$475,3,0)</f>
        <v>BW</v>
      </c>
      <c r="Q406" t="str">
        <f>VLOOKUP(B406,'MASTER DATA SLT'!$C$4:$F$544,4,0)</f>
        <v>2024-11-08</v>
      </c>
      <c r="R406">
        <f>VLOOKUP(B406,'MASTER DATA SLT'!$C$4:$G$544,5,0)</f>
        <v>0</v>
      </c>
      <c r="U406">
        <f>VLOOKUP(B406,'SALARY DETALES'!$B$2:$S$475,18,0)</f>
        <v>20000</v>
      </c>
    </row>
    <row r="407" spans="1:21" x14ac:dyDescent="0.3">
      <c r="A407">
        <v>406</v>
      </c>
      <c r="B407">
        <v>32135</v>
      </c>
      <c r="C407" t="s">
        <v>2102</v>
      </c>
      <c r="D407" t="s">
        <v>1954</v>
      </c>
      <c r="E407" t="str">
        <f>VLOOKUP(B407,'MASTER DATA SLT'!$C$4:$H$544,6,0)</f>
        <v>BUS</v>
      </c>
      <c r="F407" t="str">
        <f>VLOOKUP(B407,'MASTER DATA SLT'!$C$4:$F$544,4,0)</f>
        <v>2023-10-07</v>
      </c>
      <c r="G407">
        <f>VLOOKUP(B407,'MASTER DATA SLT'!$C$4:$P$544,14,0)</f>
        <v>0</v>
      </c>
      <c r="I407">
        <f>VLOOKUP(B407,'MASTER DATA SLT'!$C$4:$Q$544,15,0)</f>
        <v>0</v>
      </c>
      <c r="J407">
        <f>VLOOKUP(B407,'MASTER DATA SLT'!$C$4:$R$544,16,0)</f>
        <v>0</v>
      </c>
      <c r="K407">
        <f>VLOOKUP(B407,'MASTER DATA SLT'!$C$4:$S$544,17,0)</f>
        <v>0</v>
      </c>
      <c r="N407" t="str">
        <f>VLOOKUP(B407,'SALARY DETALES'!$B$2:$C$475,2,0)</f>
        <v>Section E#2</v>
      </c>
      <c r="O407" t="str">
        <f>VLOOKUP(B407,'SALARY DETALES'!$B$2:$D$475,3,0)</f>
        <v>OT</v>
      </c>
      <c r="Q407" t="str">
        <f>VLOOKUP(B407,'MASTER DATA SLT'!$C$4:$F$544,4,0)</f>
        <v>2023-10-07</v>
      </c>
      <c r="R407">
        <f>VLOOKUP(B407,'MASTER DATA SLT'!$C$4:$G$544,5,0)</f>
        <v>0</v>
      </c>
      <c r="U407">
        <f>VLOOKUP(B407,'SALARY DETALES'!$B$2:$S$475,18,0)</f>
        <v>25000</v>
      </c>
    </row>
    <row r="408" spans="1:21" x14ac:dyDescent="0.3">
      <c r="A408">
        <v>407</v>
      </c>
      <c r="B408">
        <v>32091</v>
      </c>
      <c r="C408" t="s">
        <v>2103</v>
      </c>
      <c r="D408" t="s">
        <v>1954</v>
      </c>
      <c r="E408" t="str">
        <f>VLOOKUP(B408,'MASTER DATA SLT'!$C$4:$H$544,6,0)</f>
        <v>BUS</v>
      </c>
      <c r="F408" t="str">
        <f>VLOOKUP(B408,'MASTER DATA SLT'!$C$4:$F$544,4,0)</f>
        <v>2023-12-01</v>
      </c>
      <c r="G408">
        <f>VLOOKUP(B408,'MASTER DATA SLT'!$C$4:$P$544,14,0)</f>
        <v>0</v>
      </c>
      <c r="I408">
        <f>VLOOKUP(B408,'MASTER DATA SLT'!$C$4:$Q$544,15,0)</f>
        <v>0</v>
      </c>
      <c r="J408">
        <f>VLOOKUP(B408,'MASTER DATA SLT'!$C$4:$R$544,16,0)</f>
        <v>0</v>
      </c>
      <c r="K408">
        <f>VLOOKUP(B408,'MASTER DATA SLT'!$C$4:$S$544,17,0)</f>
        <v>0</v>
      </c>
      <c r="N408" t="str">
        <f>VLOOKUP(B408,'SALARY DETALES'!$B$2:$C$475,2,0)</f>
        <v>Section E#2</v>
      </c>
      <c r="O408" t="str">
        <f>VLOOKUP(B408,'SALARY DETALES'!$B$2:$D$475,3,0)</f>
        <v>OT</v>
      </c>
      <c r="Q408" t="str">
        <f>VLOOKUP(B408,'MASTER DATA SLT'!$C$4:$F$544,4,0)</f>
        <v>2023-12-01</v>
      </c>
      <c r="R408">
        <f>VLOOKUP(B408,'MASTER DATA SLT'!$C$4:$G$544,5,0)</f>
        <v>0</v>
      </c>
      <c r="U408">
        <f>VLOOKUP(B408,'SALARY DETALES'!$B$2:$S$475,18,0)</f>
        <v>25000</v>
      </c>
    </row>
    <row r="409" spans="1:21" x14ac:dyDescent="0.3">
      <c r="A409">
        <v>408</v>
      </c>
      <c r="B409">
        <v>80568</v>
      </c>
      <c r="C409" t="s">
        <v>1857</v>
      </c>
      <c r="D409" t="s">
        <v>1852</v>
      </c>
      <c r="E409" t="str">
        <f>VLOOKUP(B409,'MASTER DATA SLT'!$C$4:$H$544,6,0)</f>
        <v>BUS</v>
      </c>
      <c r="F409" t="str">
        <f>VLOOKUP(B409,'MASTER DATA SLT'!$C$4:$F$544,4,0)</f>
        <v>2024-12-30</v>
      </c>
      <c r="G409" t="str">
        <f>VLOOKUP(B409,'MASTER DATA SLT'!$C$4:$P$544,14,0)</f>
        <v>71601-0609511</v>
      </c>
      <c r="I409" t="str">
        <f>VLOOKUP(B409,'MASTER DATA SLT'!$C$4:$Q$544,15,0)</f>
        <v>031303832274</v>
      </c>
      <c r="J409">
        <f>VLOOKUP(B409,'MASTER DATA SLT'!$C$4:$R$544,16,0)</f>
        <v>0</v>
      </c>
      <c r="K409">
        <f>VLOOKUP(B409,'MASTER DATA SLT'!$C$4:$S$544,17,0)</f>
        <v>0</v>
      </c>
      <c r="N409" t="str">
        <f>VLOOKUP(B409,'SALARY DETALES'!$B$2:$C$475,2,0)</f>
        <v>Section E#2</v>
      </c>
      <c r="O409" t="str">
        <f>VLOOKUP(B409,'SALARY DETALES'!$B$2:$D$475,3,0)</f>
        <v>BW/E</v>
      </c>
      <c r="Q409" t="str">
        <f>VLOOKUP(B409,'MASTER DATA SLT'!$C$4:$F$544,4,0)</f>
        <v>2024-12-30</v>
      </c>
      <c r="R409">
        <f>VLOOKUP(B409,'MASTER DATA SLT'!$C$4:$G$544,5,0)</f>
        <v>0</v>
      </c>
      <c r="U409">
        <f>VLOOKUP(B409,'SALARY DETALES'!$B$2:$S$475,18,0)</f>
        <v>16000</v>
      </c>
    </row>
    <row r="410" spans="1:21" x14ac:dyDescent="0.3">
      <c r="A410">
        <v>409</v>
      </c>
      <c r="B410">
        <v>80569</v>
      </c>
      <c r="C410" t="s">
        <v>1933</v>
      </c>
      <c r="D410" t="s">
        <v>2104</v>
      </c>
      <c r="E410" t="str">
        <f>VLOOKUP(B410,'MASTER DATA SLT'!$C$4:$H$544,6,0)</f>
        <v>BUS</v>
      </c>
      <c r="F410" t="str">
        <f>VLOOKUP(B410,'MASTER DATA SLT'!$C$4:$F$544,4,0)</f>
        <v>2024-12-24</v>
      </c>
      <c r="G410" t="str">
        <f>VLOOKUP(B410,'MASTER DATA SLT'!$C$4:$P$544,14,0)</f>
        <v>71202-7221542</v>
      </c>
      <c r="I410" t="str">
        <f>VLOOKUP(B410,'MASTER DATA SLT'!$C$4:$Q$544,15,0)</f>
        <v>03554644754</v>
      </c>
      <c r="J410">
        <f>VLOOKUP(B410,'MASTER DATA SLT'!$C$4:$R$544,16,0)</f>
        <v>0</v>
      </c>
      <c r="K410">
        <f>VLOOKUP(B410,'MASTER DATA SLT'!$C$4:$S$544,17,0)</f>
        <v>0</v>
      </c>
      <c r="N410" t="str">
        <f>VLOOKUP(B410,'SALARY DETALES'!$B$2:$C$475,2,0)</f>
        <v>Section E#2</v>
      </c>
      <c r="O410" t="str">
        <f>VLOOKUP(B410,'SALARY DETALES'!$B$2:$D$475,3,0)</f>
        <v>BW/E</v>
      </c>
      <c r="Q410" t="str">
        <f>VLOOKUP(B410,'MASTER DATA SLT'!$C$4:$F$544,4,0)</f>
        <v>2024-12-24</v>
      </c>
      <c r="R410">
        <f>VLOOKUP(B410,'MASTER DATA SLT'!$C$4:$G$544,5,0)</f>
        <v>0</v>
      </c>
      <c r="U410">
        <f>VLOOKUP(B410,'SALARY DETALES'!$B$2:$S$475,18,0)</f>
        <v>16000</v>
      </c>
    </row>
    <row r="411" spans="1:21" x14ac:dyDescent="0.3">
      <c r="A411">
        <v>410</v>
      </c>
      <c r="B411">
        <v>29078</v>
      </c>
      <c r="C411" t="s">
        <v>1933</v>
      </c>
      <c r="D411" t="s">
        <v>2105</v>
      </c>
      <c r="E411" t="str">
        <f>VLOOKUP(B411,'MASTER DATA SLT'!$C$4:$H$544,6,0)</f>
        <v>BUS</v>
      </c>
      <c r="F411" t="str">
        <f>VLOOKUP(B411,'MASTER DATA SLT'!$C$4:$F$544,4,0)</f>
        <v>2025-01-03</v>
      </c>
      <c r="G411">
        <f>VLOOKUP(B411,'MASTER DATA SLT'!$C$4:$P$544,14,0)</f>
        <v>0</v>
      </c>
      <c r="I411">
        <f>VLOOKUP(B411,'MASTER DATA SLT'!$C$4:$Q$544,15,0)</f>
        <v>3353161791</v>
      </c>
      <c r="J411">
        <f>VLOOKUP(B411,'MASTER DATA SLT'!$C$4:$R$544,16,0)</f>
        <v>0</v>
      </c>
      <c r="K411">
        <f>VLOOKUP(B411,'MASTER DATA SLT'!$C$4:$S$544,17,0)</f>
        <v>0</v>
      </c>
      <c r="N411" t="str">
        <f>VLOOKUP(B411,'SALARY DETALES'!$B$2:$C$475,2,0)</f>
        <v>Section F</v>
      </c>
      <c r="O411" t="str">
        <f>VLOOKUP(B411,'SALARY DETALES'!$B$2:$D$475,3,0)</f>
        <v>OT</v>
      </c>
      <c r="Q411" t="str">
        <f>VLOOKUP(B411,'MASTER DATA SLT'!$C$4:$F$544,4,0)</f>
        <v>2025-01-03</v>
      </c>
      <c r="R411">
        <f>VLOOKUP(B411,'MASTER DATA SLT'!$C$4:$G$544,5,0)</f>
        <v>0</v>
      </c>
      <c r="U411">
        <f>VLOOKUP(B411,'SALARY DETALES'!$B$2:$S$475,18,0)</f>
        <v>25000</v>
      </c>
    </row>
    <row r="412" spans="1:21" x14ac:dyDescent="0.3">
      <c r="A412">
        <v>411</v>
      </c>
      <c r="B412">
        <v>28083</v>
      </c>
      <c r="C412" t="s">
        <v>1937</v>
      </c>
      <c r="D412" t="s">
        <v>1874</v>
      </c>
      <c r="E412" t="str">
        <f>VLOOKUP(B412,'MASTER DATA SLT'!$C$4:$H$544,6,0)</f>
        <v>BUS</v>
      </c>
      <c r="F412" t="str">
        <f>VLOOKUP(B412,'MASTER DATA SLT'!$C$4:$F$544,4,0)</f>
        <v>2022-01-20</v>
      </c>
      <c r="G412" t="str">
        <f>VLOOKUP(B412,'MASTER DATA SLT'!$C$4:$P$544,14,0)</f>
        <v>71601-0611702</v>
      </c>
      <c r="I412" t="str">
        <f>VLOOKUP(B412,'MASTER DATA SLT'!$C$4:$Q$544,15,0)</f>
        <v>03554333847</v>
      </c>
      <c r="J412">
        <f>VLOOKUP(B412,'MASTER DATA SLT'!$C$4:$R$544,16,0)</f>
        <v>0</v>
      </c>
      <c r="K412">
        <f>VLOOKUP(B412,'MASTER DATA SLT'!$C$4:$S$544,17,0)</f>
        <v>0</v>
      </c>
      <c r="N412" t="str">
        <f>VLOOKUP(B412,'SALARY DETALES'!$B$2:$C$475,2,0)</f>
        <v>Section F</v>
      </c>
      <c r="O412" t="str">
        <f>VLOOKUP(B412,'SALARY DETALES'!$B$2:$D$475,3,0)</f>
        <v>OT</v>
      </c>
      <c r="Q412" t="str">
        <f>VLOOKUP(B412,'MASTER DATA SLT'!$C$4:$F$544,4,0)</f>
        <v>2022-01-20</v>
      </c>
      <c r="R412">
        <f>VLOOKUP(B412,'MASTER DATA SLT'!$C$4:$G$544,5,0)</f>
        <v>0</v>
      </c>
      <c r="U412">
        <f>VLOOKUP(B412,'SALARY DETALES'!$B$2:$S$475,18,0)</f>
        <v>25000</v>
      </c>
    </row>
    <row r="413" spans="1:21" x14ac:dyDescent="0.3">
      <c r="A413">
        <v>412</v>
      </c>
      <c r="B413">
        <v>32057</v>
      </c>
      <c r="C413" t="s">
        <v>2106</v>
      </c>
      <c r="D413" t="s">
        <v>1883</v>
      </c>
      <c r="E413" t="str">
        <f>VLOOKUP(B413,'MASTER DATA SLT'!$C$4:$H$544,6,0)</f>
        <v>BUS</v>
      </c>
      <c r="F413" t="str">
        <f>VLOOKUP(B413,'MASTER DATA SLT'!$C$4:$F$544,4,0)</f>
        <v>2022-04-27</v>
      </c>
      <c r="G413">
        <f>VLOOKUP(B413,'MASTER DATA SLT'!$C$4:$P$544,14,0)</f>
        <v>0</v>
      </c>
      <c r="I413">
        <f>VLOOKUP(B413,'MASTER DATA SLT'!$C$4:$Q$544,15,0)</f>
        <v>0</v>
      </c>
      <c r="J413">
        <f>VLOOKUP(B413,'MASTER DATA SLT'!$C$4:$R$544,16,0)</f>
        <v>0</v>
      </c>
      <c r="K413">
        <f>VLOOKUP(B413,'MASTER DATA SLT'!$C$4:$S$544,17,0)</f>
        <v>0</v>
      </c>
      <c r="N413" t="str">
        <f>VLOOKUP(B413,'SALARY DETALES'!$B$2:$C$475,2,0)</f>
        <v>Section F</v>
      </c>
      <c r="O413" t="str">
        <f>VLOOKUP(B413,'SALARY DETALES'!$B$2:$D$475,3,0)</f>
        <v>OT/F</v>
      </c>
      <c r="Q413" t="str">
        <f>VLOOKUP(B413,'MASTER DATA SLT'!$C$4:$F$544,4,0)</f>
        <v>2022-04-27</v>
      </c>
      <c r="R413">
        <f>VLOOKUP(B413,'MASTER DATA SLT'!$C$4:$G$544,5,0)</f>
        <v>0</v>
      </c>
      <c r="U413">
        <f>VLOOKUP(B413,'SALARY DETALES'!$B$2:$S$475,18,0)</f>
        <v>25000</v>
      </c>
    </row>
    <row r="414" spans="1:21" x14ac:dyDescent="0.3">
      <c r="A414">
        <v>413</v>
      </c>
      <c r="B414">
        <v>33154</v>
      </c>
      <c r="C414" t="s">
        <v>1973</v>
      </c>
      <c r="D414" t="s">
        <v>1993</v>
      </c>
      <c r="E414" t="str">
        <f>VLOOKUP(B414,'MASTER DATA SLT'!$C$4:$H$544,6,0)</f>
        <v>BUS</v>
      </c>
      <c r="F414" t="str">
        <f>VLOOKUP(B414,'MASTER DATA SLT'!$C$4:$F$544,4,0)</f>
        <v>2024-11-08</v>
      </c>
      <c r="G414" t="str">
        <f>VLOOKUP(B414,'MASTER DATA SLT'!$C$4:$P$544,14,0)</f>
        <v>71202-2999004</v>
      </c>
      <c r="I414" t="str">
        <f>VLOOKUP(B414,'MASTER DATA SLT'!$C$4:$Q$544,15,0)</f>
        <v>0355-4709025</v>
      </c>
      <c r="J414">
        <f>VLOOKUP(B414,'MASTER DATA SLT'!$C$4:$R$544,16,0)</f>
        <v>0</v>
      </c>
      <c r="K414">
        <f>VLOOKUP(B414,'MASTER DATA SLT'!$C$4:$S$544,17,0)</f>
        <v>0</v>
      </c>
      <c r="N414" t="str">
        <f>VLOOKUP(B414,'SALARY DETALES'!$B$2:$C$475,2,0)</f>
        <v>Section F</v>
      </c>
      <c r="O414" t="str">
        <f>VLOOKUP(B414,'SALARY DETALES'!$B$2:$D$475,3,0)</f>
        <v>O/T</v>
      </c>
      <c r="Q414" t="str">
        <f>VLOOKUP(B414,'MASTER DATA SLT'!$C$4:$F$544,4,0)</f>
        <v>2024-11-08</v>
      </c>
      <c r="R414">
        <f>VLOOKUP(B414,'MASTER DATA SLT'!$C$4:$G$544,5,0)</f>
        <v>0</v>
      </c>
      <c r="U414">
        <f>VLOOKUP(B414,'SALARY DETALES'!$B$2:$S$475,18,0)</f>
        <v>23000</v>
      </c>
    </row>
    <row r="415" spans="1:21" x14ac:dyDescent="0.3">
      <c r="A415">
        <v>414</v>
      </c>
      <c r="B415">
        <v>80332</v>
      </c>
      <c r="C415" t="s">
        <v>627</v>
      </c>
      <c r="D415" t="s">
        <v>2137</v>
      </c>
      <c r="E415" t="str">
        <f>VLOOKUP(B415,'MASTER DATA SLT'!$C$4:$H$544,6,0)</f>
        <v>BUS</v>
      </c>
      <c r="F415" t="str">
        <f>VLOOKUP(B415,'MASTER DATA SLT'!$C$4:$F$544,4,0)</f>
        <v>2024-08-08</v>
      </c>
      <c r="G415" t="str">
        <f>VLOOKUP(B415,'MASTER DATA SLT'!$C$4:$P$544,14,0)</f>
        <v>43203-5933439</v>
      </c>
      <c r="I415" t="str">
        <f>VLOOKUP(B415,'MASTER DATA SLT'!$C$4:$Q$544,15,0)</f>
        <v>03035390027</v>
      </c>
      <c r="J415">
        <f>VLOOKUP(B415,'MASTER DATA SLT'!$C$4:$R$544,16,0)</f>
        <v>0</v>
      </c>
      <c r="K415">
        <f>VLOOKUP(B415,'MASTER DATA SLT'!$C$4:$S$544,17,0)</f>
        <v>0</v>
      </c>
      <c r="N415" t="str">
        <f>VLOOKUP(B415,'SALARY DETALES'!$B$2:$C$475,2,0)</f>
        <v>Section F</v>
      </c>
      <c r="O415" t="str">
        <f>VLOOKUP(B415,'SALARY DETALES'!$B$2:$D$475,3,0)</f>
        <v>BW/F</v>
      </c>
      <c r="Q415" t="str">
        <f>VLOOKUP(B415,'MASTER DATA SLT'!$C$4:$F$544,4,0)</f>
        <v>2024-08-08</v>
      </c>
      <c r="R415">
        <f>VLOOKUP(B415,'MASTER DATA SLT'!$C$4:$G$544,5,0)</f>
        <v>0</v>
      </c>
      <c r="U415">
        <f>VLOOKUP(B415,'SALARY DETALES'!$B$2:$S$475,18,0)</f>
        <v>16000</v>
      </c>
    </row>
    <row r="416" spans="1:21" x14ac:dyDescent="0.3">
      <c r="A416">
        <v>415</v>
      </c>
      <c r="B416">
        <v>80397</v>
      </c>
      <c r="C416" t="s">
        <v>2107</v>
      </c>
      <c r="D416" t="s">
        <v>1863</v>
      </c>
      <c r="E416" t="str">
        <f>VLOOKUP(B416,'MASTER DATA SLT'!$C$4:$H$544,6,0)</f>
        <v>BUS</v>
      </c>
      <c r="F416" t="str">
        <f>VLOOKUP(B416,'MASTER DATA SLT'!$C$4:$F$544,4,0)</f>
        <v>2025-02-20</v>
      </c>
      <c r="G416" t="str">
        <f>VLOOKUP(B416,'MASTER DATA SLT'!$C$4:$P$544,14,0)</f>
        <v>71203-4502144</v>
      </c>
      <c r="I416" t="str">
        <f>VLOOKUP(B416,'MASTER DATA SLT'!$C$4:$Q$544,15,0)</f>
        <v>03555797615</v>
      </c>
      <c r="J416">
        <f>VLOOKUP(B416,'MASTER DATA SLT'!$C$4:$R$544,16,0)</f>
        <v>0</v>
      </c>
      <c r="K416">
        <f>VLOOKUP(B416,'MASTER DATA SLT'!$C$4:$S$544,17,0)</f>
        <v>0</v>
      </c>
      <c r="N416" t="str">
        <f>VLOOKUP(B416,'SALARY DETALES'!$B$2:$C$475,2,0)</f>
        <v>Section F</v>
      </c>
      <c r="O416" t="str">
        <f>VLOOKUP(B416,'SALARY DETALES'!$B$2:$D$475,3,0)</f>
        <v>BW/A</v>
      </c>
      <c r="Q416" t="str">
        <f>VLOOKUP(B416,'MASTER DATA SLT'!$C$4:$F$544,4,0)</f>
        <v>2025-02-20</v>
      </c>
      <c r="R416">
        <f>VLOOKUP(B416,'MASTER DATA SLT'!$C$4:$G$544,5,0)</f>
        <v>0</v>
      </c>
      <c r="U416">
        <f>VLOOKUP(B416,'SALARY DETALES'!$B$2:$S$475,18,0)</f>
        <v>16000</v>
      </c>
    </row>
    <row r="417" spans="1:21" x14ac:dyDescent="0.3">
      <c r="A417">
        <v>416</v>
      </c>
      <c r="B417">
        <v>80410</v>
      </c>
      <c r="C417" t="s">
        <v>2108</v>
      </c>
      <c r="D417" t="s">
        <v>1861</v>
      </c>
      <c r="E417" t="str">
        <f>VLOOKUP(B417,'MASTER DATA SLT'!$C$4:$H$544,6,0)</f>
        <v>BUS</v>
      </c>
      <c r="F417" t="str">
        <f>VLOOKUP(B417,'MASTER DATA SLT'!$C$4:$F$544,4,0)</f>
        <v>2024-10-26</v>
      </c>
      <c r="G417" t="str">
        <f>VLOOKUP(B417,'MASTER DATA SLT'!$C$4:$P$544,14,0)</f>
        <v>71501-1972240</v>
      </c>
      <c r="I417" t="str">
        <f>VLOOKUP(B417,'MASTER DATA SLT'!$C$4:$Q$544,15,0)</f>
        <v>0316-5027404</v>
      </c>
      <c r="J417">
        <f>VLOOKUP(B417,'MASTER DATA SLT'!$C$4:$R$544,16,0)</f>
        <v>0</v>
      </c>
      <c r="K417">
        <f>VLOOKUP(B417,'MASTER DATA SLT'!$C$4:$S$544,17,0)</f>
        <v>0</v>
      </c>
      <c r="N417" t="str">
        <f>VLOOKUP(B417,'SALARY DETALES'!$B$2:$C$475,2,0)</f>
        <v>Section F</v>
      </c>
      <c r="O417" t="str">
        <f>VLOOKUP(B417,'SALARY DETALES'!$B$2:$D$475,3,0)</f>
        <v>B/W</v>
      </c>
      <c r="Q417" t="str">
        <f>VLOOKUP(B417,'MASTER DATA SLT'!$C$4:$F$544,4,0)</f>
        <v>2024-10-26</v>
      </c>
      <c r="R417">
        <f>VLOOKUP(B417,'MASTER DATA SLT'!$C$4:$G$544,5,0)</f>
        <v>0</v>
      </c>
      <c r="U417">
        <f>VLOOKUP(B417,'SALARY DETALES'!$B$2:$S$475,18,0)</f>
        <v>16000</v>
      </c>
    </row>
    <row r="418" spans="1:21" x14ac:dyDescent="0.3">
      <c r="A418">
        <v>417</v>
      </c>
      <c r="B418">
        <v>80434</v>
      </c>
      <c r="C418" t="s">
        <v>2109</v>
      </c>
      <c r="D418" t="s">
        <v>1901</v>
      </c>
      <c r="E418" t="str">
        <f>VLOOKUP(B418,'MASTER DATA SLT'!$C$4:$H$544,6,0)</f>
        <v>BUS</v>
      </c>
      <c r="F418" t="str">
        <f>VLOOKUP(B418,'MASTER DATA SLT'!$C$4:$F$544,4,0)</f>
        <v>2024-10-08</v>
      </c>
      <c r="G418" t="str">
        <f>VLOOKUP(B418,'MASTER DATA SLT'!$C$4:$P$544,14,0)</f>
        <v>71202-4883001</v>
      </c>
      <c r="I418" t="str">
        <f>VLOOKUP(B418,'MASTER DATA SLT'!$C$4:$Q$544,15,0)</f>
        <v>03700182240</v>
      </c>
      <c r="J418">
        <f>VLOOKUP(B418,'MASTER DATA SLT'!$C$4:$R$544,16,0)</f>
        <v>0</v>
      </c>
      <c r="K418">
        <f>VLOOKUP(B418,'MASTER DATA SLT'!$C$4:$S$544,17,0)</f>
        <v>0</v>
      </c>
      <c r="N418" t="str">
        <f>VLOOKUP(B418,'SALARY DETALES'!$B$2:$C$475,2,0)</f>
        <v>Section F</v>
      </c>
      <c r="O418" t="str">
        <f>VLOOKUP(B418,'SALARY DETALES'!$B$2:$D$475,3,0)</f>
        <v>BW/F</v>
      </c>
      <c r="Q418" t="str">
        <f>VLOOKUP(B418,'MASTER DATA SLT'!$C$4:$F$544,4,0)</f>
        <v>2024-10-08</v>
      </c>
      <c r="R418">
        <f>VLOOKUP(B418,'MASTER DATA SLT'!$C$4:$G$544,5,0)</f>
        <v>0</v>
      </c>
      <c r="U418">
        <f>VLOOKUP(B418,'SALARY DETALES'!$B$2:$S$475,18,0)</f>
        <v>16000</v>
      </c>
    </row>
    <row r="419" spans="1:21" x14ac:dyDescent="0.3">
      <c r="A419">
        <v>418</v>
      </c>
      <c r="B419">
        <v>80438</v>
      </c>
      <c r="C419" t="s">
        <v>2110</v>
      </c>
      <c r="D419" t="s">
        <v>1855</v>
      </c>
      <c r="E419" t="str">
        <f>VLOOKUP(B419,'MASTER DATA SLT'!$C$4:$H$544,6,0)</f>
        <v>BUS</v>
      </c>
      <c r="F419" t="str">
        <f>VLOOKUP(B419,'MASTER DATA SLT'!$C$4:$F$544,4,0)</f>
        <v>2024-10-15</v>
      </c>
      <c r="G419" t="str">
        <f>VLOOKUP(B419,'MASTER DATA SLT'!$C$4:$P$544,14,0)</f>
        <v>13401-4329480</v>
      </c>
      <c r="I419" t="str">
        <f>VLOOKUP(B419,'MASTER DATA SLT'!$C$4:$Q$544,15,0)</f>
        <v>0355-4859775</v>
      </c>
      <c r="J419">
        <f>VLOOKUP(B419,'MASTER DATA SLT'!$C$4:$R$544,16,0)</f>
        <v>0</v>
      </c>
      <c r="K419">
        <f>VLOOKUP(B419,'MASTER DATA SLT'!$C$4:$S$544,17,0)</f>
        <v>0</v>
      </c>
      <c r="N419" t="str">
        <f>VLOOKUP(B419,'SALARY DETALES'!$B$2:$C$475,2,0)</f>
        <v>Section F</v>
      </c>
      <c r="O419" t="str">
        <f>VLOOKUP(B419,'SALARY DETALES'!$B$2:$D$475,3,0)</f>
        <v>B/S</v>
      </c>
      <c r="Q419" t="str">
        <f>VLOOKUP(B419,'MASTER DATA SLT'!$C$4:$F$544,4,0)</f>
        <v>2024-10-15</v>
      </c>
      <c r="R419">
        <f>VLOOKUP(B419,'MASTER DATA SLT'!$C$4:$G$544,5,0)</f>
        <v>0</v>
      </c>
      <c r="U419">
        <f>VLOOKUP(B419,'SALARY DETALES'!$B$2:$S$475,18,0)</f>
        <v>16000</v>
      </c>
    </row>
    <row r="420" spans="1:21" x14ac:dyDescent="0.3">
      <c r="A420">
        <v>419</v>
      </c>
      <c r="B420">
        <v>80558</v>
      </c>
      <c r="C420" t="s">
        <v>1740</v>
      </c>
      <c r="D420" t="s">
        <v>2140</v>
      </c>
      <c r="E420" t="str">
        <f>VLOOKUP(B420,'MASTER DATA SLT'!$C$4:$H$544,6,0)</f>
        <v>BUS</v>
      </c>
      <c r="F420" t="str">
        <f>VLOOKUP(B420,'MASTER DATA SLT'!$C$4:$F$544,4,0)</f>
        <v>2024-12-26</v>
      </c>
      <c r="G420" t="str">
        <f>VLOOKUP(B420,'MASTER DATA SLT'!$C$4:$P$544,14,0)</f>
        <v>71202-9879256</v>
      </c>
      <c r="I420" t="str">
        <f>VLOOKUP(B420,'MASTER DATA SLT'!$C$4:$Q$544,15,0)</f>
        <v>0355-5343754</v>
      </c>
      <c r="J420">
        <f>VLOOKUP(B420,'MASTER DATA SLT'!$C$4:$R$544,16,0)</f>
        <v>0</v>
      </c>
      <c r="K420">
        <f>VLOOKUP(B420,'MASTER DATA SLT'!$C$4:$S$544,17,0)</f>
        <v>0</v>
      </c>
      <c r="N420" t="str">
        <f>VLOOKUP(B420,'SALARY DETALES'!$B$2:$C$475,2,0)</f>
        <v>Section F</v>
      </c>
      <c r="O420" t="str">
        <f>VLOOKUP(B420,'SALARY DETALES'!$B$2:$D$475,3,0)</f>
        <v>B/W</v>
      </c>
      <c r="Q420" t="str">
        <f>VLOOKUP(B420,'MASTER DATA SLT'!$C$4:$F$544,4,0)</f>
        <v>2024-12-26</v>
      </c>
      <c r="R420">
        <f>VLOOKUP(B420,'MASTER DATA SLT'!$C$4:$G$544,5,0)</f>
        <v>0</v>
      </c>
      <c r="U420">
        <f>VLOOKUP(B420,'SALARY DETALES'!$B$2:$S$475,18,0)</f>
        <v>16000</v>
      </c>
    </row>
    <row r="421" spans="1:21" x14ac:dyDescent="0.3">
      <c r="A421">
        <v>420</v>
      </c>
      <c r="B421">
        <v>80731</v>
      </c>
      <c r="C421" t="s">
        <v>477</v>
      </c>
      <c r="D421" t="s">
        <v>1901</v>
      </c>
      <c r="E421" t="str">
        <f>VLOOKUP(B421,'MASTER DATA SLT'!$C$4:$H$544,6,0)</f>
        <v>BUS</v>
      </c>
      <c r="F421" t="str">
        <f>VLOOKUP(B421,'MASTER DATA SLT'!$C$4:$F$544,4,0)</f>
        <v>2025-03-26</v>
      </c>
      <c r="G421">
        <f>VLOOKUP(B421,'MASTER DATA SLT'!$C$4:$P$544,14,0)</f>
        <v>0</v>
      </c>
      <c r="I421">
        <f>VLOOKUP(B421,'MASTER DATA SLT'!$C$4:$Q$544,15,0)</f>
        <v>0</v>
      </c>
      <c r="J421">
        <f>VLOOKUP(B421,'MASTER DATA SLT'!$C$4:$R$544,16,0)</f>
        <v>0</v>
      </c>
      <c r="K421">
        <f>VLOOKUP(B421,'MASTER DATA SLT'!$C$4:$S$544,17,0)</f>
        <v>0</v>
      </c>
      <c r="N421" t="str">
        <f>VLOOKUP(B421,'SALARY DETALES'!$B$2:$C$475,2,0)</f>
        <v>Section F</v>
      </c>
      <c r="O421" t="str">
        <f>VLOOKUP(B421,'SALARY DETALES'!$B$2:$D$475,3,0)</f>
        <v>B/W</v>
      </c>
      <c r="Q421" t="str">
        <f>VLOOKUP(B421,'MASTER DATA SLT'!$C$4:$F$544,4,0)</f>
        <v>2025-03-26</v>
      </c>
      <c r="R421">
        <f>VLOOKUP(B421,'MASTER DATA SLT'!$C$4:$G$544,5,0)</f>
        <v>0</v>
      </c>
      <c r="U421">
        <f>VLOOKUP(B421,'SALARY DETALES'!$B$2:$S$475,18,0)</f>
        <v>16000</v>
      </c>
    </row>
    <row r="422" spans="1:21" x14ac:dyDescent="0.3">
      <c r="A422">
        <v>421</v>
      </c>
      <c r="B422">
        <v>80761</v>
      </c>
      <c r="C422" t="s">
        <v>2023</v>
      </c>
      <c r="D422" t="s">
        <v>1894</v>
      </c>
      <c r="E422" t="str">
        <f>VLOOKUP(B422,'MASTER DATA SLT'!$C$4:$H$544,6,0)</f>
        <v>BUS</v>
      </c>
      <c r="F422" t="str">
        <f>VLOOKUP(B422,'MASTER DATA SLT'!$C$4:$F$544,4,0)</f>
        <v>2025-04-16</v>
      </c>
      <c r="G422">
        <f>VLOOKUP(B422,'MASTER DATA SLT'!$C$4:$P$544,14,0)</f>
        <v>0</v>
      </c>
      <c r="I422">
        <f>VLOOKUP(B422,'MASTER DATA SLT'!$C$4:$Q$544,15,0)</f>
        <v>0</v>
      </c>
      <c r="J422">
        <f>VLOOKUP(B422,'MASTER DATA SLT'!$C$4:$R$544,16,0)</f>
        <v>0</v>
      </c>
      <c r="K422">
        <f>VLOOKUP(B422,'MASTER DATA SLT'!$C$4:$S$544,17,0)</f>
        <v>0</v>
      </c>
      <c r="N422" t="str">
        <f>VLOOKUP(B422,'SALARY DETALES'!$B$2:$C$475,2,0)</f>
        <v>Section F</v>
      </c>
      <c r="O422" t="str">
        <f>VLOOKUP(B422,'SALARY DETALES'!$B$2:$D$475,3,0)</f>
        <v>B/W</v>
      </c>
      <c r="Q422" t="str">
        <f>VLOOKUP(B422,'MASTER DATA SLT'!$C$4:$F$544,4,0)</f>
        <v>2025-04-16</v>
      </c>
      <c r="R422">
        <f>VLOOKUP(B422,'MASTER DATA SLT'!$C$4:$G$544,5,0)</f>
        <v>0</v>
      </c>
      <c r="U422">
        <f>VLOOKUP(B422,'SALARY DETALES'!$B$2:$S$475,18,0)</f>
        <v>16000</v>
      </c>
    </row>
    <row r="423" spans="1:21" x14ac:dyDescent="0.3">
      <c r="A423">
        <v>422</v>
      </c>
      <c r="B423">
        <v>80776</v>
      </c>
      <c r="C423" t="s">
        <v>2111</v>
      </c>
      <c r="D423" t="s">
        <v>2112</v>
      </c>
      <c r="E423" t="str">
        <f>VLOOKUP(B423,'MASTER DATA SLT'!$C$4:$H$544,6,0)</f>
        <v>BUS</v>
      </c>
      <c r="F423" t="str">
        <f>VLOOKUP(B423,'MASTER DATA SLT'!$C$4:$F$544,4,0)</f>
        <v>2025-04-19</v>
      </c>
      <c r="G423">
        <f>VLOOKUP(B423,'MASTER DATA SLT'!$C$4:$P$544,14,0)</f>
        <v>0</v>
      </c>
      <c r="I423">
        <f>VLOOKUP(B423,'MASTER DATA SLT'!$C$4:$Q$544,15,0)</f>
        <v>0</v>
      </c>
      <c r="J423">
        <f>VLOOKUP(B423,'MASTER DATA SLT'!$C$4:$R$544,16,0)</f>
        <v>0</v>
      </c>
      <c r="K423">
        <f>VLOOKUP(B423,'MASTER DATA SLT'!$C$4:$S$544,17,0)</f>
        <v>0</v>
      </c>
      <c r="N423" t="str">
        <f>VLOOKUP(B423,'SALARY DETALES'!$B$2:$C$475,2,0)</f>
        <v>Section F</v>
      </c>
      <c r="O423" t="str">
        <f>VLOOKUP(B423,'SALARY DETALES'!$B$2:$D$475,3,0)</f>
        <v>B/W</v>
      </c>
      <c r="Q423" t="str">
        <f>VLOOKUP(B423,'MASTER DATA SLT'!$C$4:$F$544,4,0)</f>
        <v>2025-04-19</v>
      </c>
      <c r="R423">
        <f>VLOOKUP(B423,'MASTER DATA SLT'!$C$4:$G$544,5,0)</f>
        <v>0</v>
      </c>
      <c r="U423">
        <f>VLOOKUP(B423,'SALARY DETALES'!$B$2:$S$475,18,0)</f>
        <v>16000</v>
      </c>
    </row>
    <row r="424" spans="1:21" x14ac:dyDescent="0.3">
      <c r="A424">
        <v>423</v>
      </c>
      <c r="B424">
        <v>80798</v>
      </c>
      <c r="C424" t="s">
        <v>636</v>
      </c>
      <c r="D424" t="s">
        <v>2137</v>
      </c>
      <c r="E424" t="str">
        <f>VLOOKUP(B424,'MASTER DATA SLT'!$C$4:$H$544,6,0)</f>
        <v>BUS</v>
      </c>
      <c r="F424" t="str">
        <f>VLOOKUP(B424,'MASTER DATA SLT'!$C$4:$F$544,4,0)</f>
        <v>2025-04-17</v>
      </c>
      <c r="G424">
        <f>VLOOKUP(B424,'MASTER DATA SLT'!$C$4:$P$544,14,0)</f>
        <v>0</v>
      </c>
      <c r="I424">
        <f>VLOOKUP(B424,'MASTER DATA SLT'!$C$4:$Q$544,15,0)</f>
        <v>0</v>
      </c>
      <c r="J424">
        <f>VLOOKUP(B424,'MASTER DATA SLT'!$C$4:$R$544,16,0)</f>
        <v>0</v>
      </c>
      <c r="K424">
        <f>VLOOKUP(B424,'MASTER DATA SLT'!$C$4:$S$544,17,0)</f>
        <v>0</v>
      </c>
      <c r="N424" t="str">
        <f>VLOOKUP(B424,'SALARY DETALES'!$B$2:$C$475,2,0)</f>
        <v>Section F</v>
      </c>
      <c r="O424" t="str">
        <f>VLOOKUP(B424,'SALARY DETALES'!$B$2:$D$475,3,0)</f>
        <v>BST</v>
      </c>
      <c r="Q424" t="str">
        <f>VLOOKUP(B424,'MASTER DATA SLT'!$C$4:$F$544,4,0)</f>
        <v>2025-04-17</v>
      </c>
      <c r="R424">
        <f>VLOOKUP(B424,'MASTER DATA SLT'!$C$4:$G$544,5,0)</f>
        <v>0</v>
      </c>
      <c r="U424">
        <f>VLOOKUP(B424,'SALARY DETALES'!$B$2:$S$475,18,0)</f>
        <v>16000</v>
      </c>
    </row>
    <row r="425" spans="1:21" x14ac:dyDescent="0.3">
      <c r="A425">
        <v>424</v>
      </c>
      <c r="B425">
        <v>27220</v>
      </c>
      <c r="C425" t="s">
        <v>2094</v>
      </c>
      <c r="D425" t="s">
        <v>1874</v>
      </c>
      <c r="E425" t="str">
        <f>VLOOKUP(B425,'MASTER DATA SLT'!$C$4:$H$544,6,0)</f>
        <v>BUS</v>
      </c>
      <c r="F425" t="str">
        <f>VLOOKUP(B425,'MASTER DATA SLT'!$C$4:$F$544,4,0)</f>
        <v>2024-03-04</v>
      </c>
      <c r="G425">
        <f>VLOOKUP(B425,'MASTER DATA SLT'!$C$4:$P$544,14,0)</f>
        <v>0</v>
      </c>
      <c r="I425" t="str">
        <f>VLOOKUP(B425,'MASTER DATA SLT'!$C$4:$Q$544,15,0)</f>
        <v>03555001006</v>
      </c>
      <c r="J425">
        <f>VLOOKUP(B425,'MASTER DATA SLT'!$C$4:$R$544,16,0)</f>
        <v>0</v>
      </c>
      <c r="K425">
        <f>VLOOKUP(B425,'MASTER DATA SLT'!$C$4:$S$544,17,0)</f>
        <v>0</v>
      </c>
      <c r="N425" t="str">
        <f>VLOOKUP(B425,'SALARY DETALES'!$B$2:$C$475,2,0)</f>
        <v>Section F2</v>
      </c>
      <c r="O425" t="str">
        <f>VLOOKUP(B425,'SALARY DETALES'!$B$2:$D$475,3,0)</f>
        <v>BW</v>
      </c>
      <c r="Q425" t="str">
        <f>VLOOKUP(B425,'MASTER DATA SLT'!$C$4:$F$544,4,0)</f>
        <v>2024-03-04</v>
      </c>
      <c r="R425">
        <f>VLOOKUP(B425,'MASTER DATA SLT'!$C$4:$G$544,5,0)</f>
        <v>0</v>
      </c>
      <c r="U425">
        <f>VLOOKUP(B425,'SALARY DETALES'!$B$2:$S$475,18,0)</f>
        <v>16000</v>
      </c>
    </row>
    <row r="426" spans="1:21" x14ac:dyDescent="0.3">
      <c r="A426">
        <v>425</v>
      </c>
      <c r="B426">
        <v>28032</v>
      </c>
      <c r="C426" t="s">
        <v>1898</v>
      </c>
      <c r="D426" t="s">
        <v>1845</v>
      </c>
      <c r="E426" t="str">
        <f>VLOOKUP(B426,'MASTER DATA SLT'!$C$4:$H$544,6,0)</f>
        <v>BUS</v>
      </c>
      <c r="F426" t="str">
        <f>VLOOKUP(B426,'MASTER DATA SLT'!$C$4:$F$544,4,0)</f>
        <v>2022-06-21</v>
      </c>
      <c r="G426">
        <f>VLOOKUP(B426,'MASTER DATA SLT'!$C$4:$P$544,14,0)</f>
        <v>0</v>
      </c>
      <c r="I426">
        <f>VLOOKUP(B426,'MASTER DATA SLT'!$C$4:$Q$544,15,0)</f>
        <v>0</v>
      </c>
      <c r="J426">
        <f>VLOOKUP(B426,'MASTER DATA SLT'!$C$4:$R$544,16,0)</f>
        <v>0</v>
      </c>
      <c r="K426">
        <f>VLOOKUP(B426,'MASTER DATA SLT'!$C$4:$S$544,17,0)</f>
        <v>0</v>
      </c>
      <c r="N426" t="str">
        <f>VLOOKUP(B426,'SALARY DETALES'!$B$2:$C$475,2,0)</f>
        <v>Section F2</v>
      </c>
      <c r="O426" t="str">
        <f>VLOOKUP(B426,'SALARY DETALES'!$B$2:$D$475,3,0)</f>
        <v>OT</v>
      </c>
      <c r="Q426" t="str">
        <f>VLOOKUP(B426,'MASTER DATA SLT'!$C$4:$F$544,4,0)</f>
        <v>2022-06-21</v>
      </c>
      <c r="R426">
        <f>VLOOKUP(B426,'MASTER DATA SLT'!$C$4:$G$544,5,0)</f>
        <v>0</v>
      </c>
      <c r="U426">
        <f>VLOOKUP(B426,'SALARY DETALES'!$B$2:$S$475,18,0)</f>
        <v>25000</v>
      </c>
    </row>
    <row r="427" spans="1:21" x14ac:dyDescent="0.3">
      <c r="A427">
        <v>426</v>
      </c>
      <c r="B427">
        <v>33081</v>
      </c>
      <c r="C427" t="s">
        <v>2113</v>
      </c>
      <c r="D427" t="s">
        <v>1869</v>
      </c>
      <c r="E427" t="str">
        <f>VLOOKUP(B427,'MASTER DATA SLT'!$C$4:$H$544,6,0)</f>
        <v>BUS</v>
      </c>
      <c r="F427" t="str">
        <f>VLOOKUP(B427,'MASTER DATA SLT'!$C$4:$F$544,4,0)</f>
        <v>2023-10-01</v>
      </c>
      <c r="G427">
        <f>VLOOKUP(B427,'MASTER DATA SLT'!$C$4:$P$544,14,0)</f>
        <v>0</v>
      </c>
      <c r="I427">
        <f>VLOOKUP(B427,'MASTER DATA SLT'!$C$4:$Q$544,15,0)</f>
        <v>0</v>
      </c>
      <c r="J427">
        <f>VLOOKUP(B427,'MASTER DATA SLT'!$C$4:$R$544,16,0)</f>
        <v>0</v>
      </c>
      <c r="K427">
        <f>VLOOKUP(B427,'MASTER DATA SLT'!$C$4:$S$544,17,0)</f>
        <v>0</v>
      </c>
      <c r="N427" t="str">
        <f>VLOOKUP(B427,'SALARY DETALES'!$B$2:$C$475,2,0)</f>
        <v>Section F2</v>
      </c>
      <c r="O427" t="str">
        <f>VLOOKUP(B427,'SALARY DETALES'!$B$2:$D$475,3,0)</f>
        <v>OT</v>
      </c>
      <c r="Q427" t="str">
        <f>VLOOKUP(B427,'MASTER DATA SLT'!$C$4:$F$544,4,0)</f>
        <v>2023-10-01</v>
      </c>
      <c r="R427">
        <f>VLOOKUP(B427,'MASTER DATA SLT'!$C$4:$G$544,5,0)</f>
        <v>0</v>
      </c>
      <c r="U427">
        <f>VLOOKUP(B427,'SALARY DETALES'!$B$2:$S$475,18,0)</f>
        <v>22000</v>
      </c>
    </row>
    <row r="428" spans="1:21" x14ac:dyDescent="0.3">
      <c r="A428">
        <v>427</v>
      </c>
      <c r="B428">
        <v>32031</v>
      </c>
      <c r="C428" t="s">
        <v>1876</v>
      </c>
      <c r="D428" t="s">
        <v>1883</v>
      </c>
      <c r="E428" t="str">
        <f>VLOOKUP(B428,'MASTER DATA SLT'!$C$4:$H$544,6,0)</f>
        <v>BUS</v>
      </c>
      <c r="F428" t="str">
        <f>VLOOKUP(B428,'MASTER DATA SLT'!$C$4:$F$544,4,0)</f>
        <v>2023-10-05</v>
      </c>
      <c r="G428">
        <f>VLOOKUP(B428,'MASTER DATA SLT'!$C$4:$P$544,14,0)</f>
        <v>0</v>
      </c>
      <c r="I428">
        <f>VLOOKUP(B428,'MASTER DATA SLT'!$C$4:$Q$544,15,0)</f>
        <v>0</v>
      </c>
      <c r="J428">
        <f>VLOOKUP(B428,'MASTER DATA SLT'!$C$4:$R$544,16,0)</f>
        <v>0</v>
      </c>
      <c r="K428">
        <f>VLOOKUP(B428,'MASTER DATA SLT'!$C$4:$S$544,17,0)</f>
        <v>0</v>
      </c>
      <c r="N428" t="str">
        <f>VLOOKUP(B428,'SALARY DETALES'!$B$2:$C$475,2,0)</f>
        <v>Section F2</v>
      </c>
      <c r="O428" t="str">
        <f>VLOOKUP(B428,'SALARY DETALES'!$B$2:$D$475,3,0)</f>
        <v>BW</v>
      </c>
      <c r="Q428" t="str">
        <f>VLOOKUP(B428,'MASTER DATA SLT'!$C$4:$F$544,4,0)</f>
        <v>2023-10-05</v>
      </c>
      <c r="R428">
        <f>VLOOKUP(B428,'MASTER DATA SLT'!$C$4:$G$544,5,0)</f>
        <v>0</v>
      </c>
      <c r="U428">
        <f>VLOOKUP(B428,'SALARY DETALES'!$B$2:$S$475,18,0)</f>
        <v>17600</v>
      </c>
    </row>
    <row r="429" spans="1:21" x14ac:dyDescent="0.3">
      <c r="A429">
        <v>428</v>
      </c>
      <c r="B429">
        <v>33161</v>
      </c>
      <c r="C429" t="s">
        <v>2114</v>
      </c>
      <c r="D429" t="s">
        <v>2115</v>
      </c>
      <c r="E429" t="str">
        <f>VLOOKUP(B429,'MASTER DATA SLT'!$C$4:$H$544,6,0)</f>
        <v>BUS</v>
      </c>
      <c r="F429" t="str">
        <f>VLOOKUP(B429,'MASTER DATA SLT'!$C$4:$F$544,4,0)</f>
        <v>2025-02-24</v>
      </c>
      <c r="G429" t="str">
        <f>VLOOKUP(B429,'MASTER DATA SLT'!$C$4:$P$544,14,0)</f>
        <v>71501-5673011</v>
      </c>
      <c r="I429" t="str">
        <f>VLOOKUP(B429,'MASTER DATA SLT'!$C$4:$Q$544,15,0)</f>
        <v>0317-9014131</v>
      </c>
      <c r="J429">
        <f>VLOOKUP(B429,'MASTER DATA SLT'!$C$4:$R$544,16,0)</f>
        <v>0</v>
      </c>
      <c r="K429">
        <f>VLOOKUP(B429,'MASTER DATA SLT'!$C$4:$S$544,17,0)</f>
        <v>0</v>
      </c>
      <c r="N429" t="str">
        <f>VLOOKUP(B429,'SALARY DETALES'!$B$2:$C$475,2,0)</f>
        <v>Section F2</v>
      </c>
      <c r="O429" t="str">
        <f>VLOOKUP(B429,'SALARY DETALES'!$B$2:$D$475,3,0)</f>
        <v>BW</v>
      </c>
      <c r="Q429" t="str">
        <f>VLOOKUP(B429,'MASTER DATA SLT'!$C$4:$F$544,4,0)</f>
        <v>2025-02-24</v>
      </c>
      <c r="R429">
        <f>VLOOKUP(B429,'MASTER DATA SLT'!$C$4:$G$544,5,0)</f>
        <v>0</v>
      </c>
      <c r="U429">
        <f>VLOOKUP(B429,'SALARY DETALES'!$B$2:$S$475,18,0)</f>
        <v>20000</v>
      </c>
    </row>
    <row r="430" spans="1:21" x14ac:dyDescent="0.3">
      <c r="A430">
        <v>429</v>
      </c>
      <c r="B430">
        <v>30224</v>
      </c>
      <c r="C430" t="s">
        <v>378</v>
      </c>
      <c r="D430" t="s">
        <v>1883</v>
      </c>
      <c r="E430" t="str">
        <f>VLOOKUP(B430,'MASTER DATA SLT'!$C$4:$H$544,6,0)</f>
        <v>BUS</v>
      </c>
      <c r="F430" t="str">
        <f>VLOOKUP(B430,'MASTER DATA SLT'!$C$4:$F$544,4,0)</f>
        <v>2023-12-22</v>
      </c>
      <c r="G430">
        <f>VLOOKUP(B430,'MASTER DATA SLT'!$C$4:$P$544,14,0)</f>
        <v>0</v>
      </c>
      <c r="I430">
        <f>VLOOKUP(B430,'MASTER DATA SLT'!$C$4:$Q$544,15,0)</f>
        <v>0</v>
      </c>
      <c r="J430">
        <f>VLOOKUP(B430,'MASTER DATA SLT'!$C$4:$R$544,16,0)</f>
        <v>0</v>
      </c>
      <c r="K430">
        <f>VLOOKUP(B430,'MASTER DATA SLT'!$C$4:$S$544,17,0)</f>
        <v>0</v>
      </c>
      <c r="N430" t="str">
        <f>VLOOKUP(B430,'SALARY DETALES'!$B$2:$C$475,2,0)</f>
        <v>Section F2</v>
      </c>
      <c r="O430" t="str">
        <f>VLOOKUP(B430,'SALARY DETALES'!$B$2:$D$475,3,0)</f>
        <v>OT</v>
      </c>
      <c r="Q430" t="str">
        <f>VLOOKUP(B430,'MASTER DATA SLT'!$C$4:$F$544,4,0)</f>
        <v>2023-12-22</v>
      </c>
      <c r="R430">
        <f>VLOOKUP(B430,'MASTER DATA SLT'!$C$4:$G$544,5,0)</f>
        <v>0</v>
      </c>
      <c r="U430">
        <f>VLOOKUP(B430,'SALARY DETALES'!$B$2:$S$475,18,0)</f>
        <v>23000</v>
      </c>
    </row>
    <row r="431" spans="1:21" x14ac:dyDescent="0.3">
      <c r="A431">
        <v>430</v>
      </c>
      <c r="B431">
        <v>30229</v>
      </c>
      <c r="C431" t="s">
        <v>1885</v>
      </c>
      <c r="D431" t="s">
        <v>1954</v>
      </c>
      <c r="E431" t="str">
        <f>VLOOKUP(B431,'MASTER DATA SLT'!$C$4:$H$544,6,0)</f>
        <v>BUS</v>
      </c>
      <c r="F431" t="str">
        <f>VLOOKUP(B431,'MASTER DATA SLT'!$C$4:$F$544,4,0)</f>
        <v>2024-03-21</v>
      </c>
      <c r="G431">
        <f>VLOOKUP(B431,'MASTER DATA SLT'!$C$4:$P$544,14,0)</f>
        <v>0</v>
      </c>
      <c r="I431" t="str">
        <f>VLOOKUP(B431,'MASTER DATA SLT'!$C$4:$Q$544,15,0)</f>
        <v>034664861479</v>
      </c>
      <c r="J431">
        <f>VLOOKUP(B431,'MASTER DATA SLT'!$C$4:$R$544,16,0)</f>
        <v>0</v>
      </c>
      <c r="K431">
        <f>VLOOKUP(B431,'MASTER DATA SLT'!$C$4:$S$544,17,0)</f>
        <v>0</v>
      </c>
      <c r="N431" t="str">
        <f>VLOOKUP(B431,'SALARY DETALES'!$B$2:$C$475,2,0)</f>
        <v>Section F2</v>
      </c>
      <c r="O431" t="str">
        <f>VLOOKUP(B431,'SALARY DETALES'!$B$2:$D$475,3,0)</f>
        <v>OT</v>
      </c>
      <c r="Q431" t="str">
        <f>VLOOKUP(B431,'MASTER DATA SLT'!$C$4:$F$544,4,0)</f>
        <v>2024-03-21</v>
      </c>
      <c r="R431">
        <f>VLOOKUP(B431,'MASTER DATA SLT'!$C$4:$G$544,5,0)</f>
        <v>0</v>
      </c>
      <c r="U431">
        <f>VLOOKUP(B431,'SALARY DETALES'!$B$2:$S$475,18,0)</f>
        <v>25000</v>
      </c>
    </row>
    <row r="432" spans="1:21" x14ac:dyDescent="0.3">
      <c r="A432">
        <v>431</v>
      </c>
      <c r="B432">
        <v>80360</v>
      </c>
      <c r="C432" t="s">
        <v>2116</v>
      </c>
      <c r="D432" t="s">
        <v>1842</v>
      </c>
      <c r="E432" t="str">
        <f>VLOOKUP(B432,'MASTER DATA SLT'!$C$4:$H$544,6,0)</f>
        <v>BUS</v>
      </c>
      <c r="F432" t="str">
        <f>VLOOKUP(B432,'MASTER DATA SLT'!$C$4:$F$544,4,0)</f>
        <v>2024-08-21</v>
      </c>
      <c r="G432" t="str">
        <f>VLOOKUP(B432,'MASTER DATA SLT'!$C$4:$P$544,14,0)</f>
        <v>71104-6077945</v>
      </c>
      <c r="I432" t="str">
        <f>VLOOKUP(B432,'MASTER DATA SLT'!$C$4:$Q$544,15,0)</f>
        <v>0344-0188034</v>
      </c>
      <c r="J432">
        <f>VLOOKUP(B432,'MASTER DATA SLT'!$C$4:$R$544,16,0)</f>
        <v>0</v>
      </c>
      <c r="K432">
        <f>VLOOKUP(B432,'MASTER DATA SLT'!$C$4:$S$544,17,0)</f>
        <v>0</v>
      </c>
      <c r="N432" t="str">
        <f>VLOOKUP(B432,'SALARY DETALES'!$B$2:$C$475,2,0)</f>
        <v>Section F2</v>
      </c>
      <c r="O432" t="str">
        <f>VLOOKUP(B432,'SALARY DETALES'!$B$2:$D$475,3,0)</f>
        <v>OT</v>
      </c>
      <c r="Q432" t="str">
        <f>VLOOKUP(B432,'MASTER DATA SLT'!$C$4:$F$544,4,0)</f>
        <v>2024-08-21</v>
      </c>
      <c r="R432">
        <f>VLOOKUP(B432,'MASTER DATA SLT'!$C$4:$G$544,5,0)</f>
        <v>0</v>
      </c>
      <c r="U432">
        <f>VLOOKUP(B432,'SALARY DETALES'!$B$2:$S$475,18,0)</f>
        <v>25000</v>
      </c>
    </row>
    <row r="433" spans="1:21" x14ac:dyDescent="0.3">
      <c r="A433">
        <v>432</v>
      </c>
      <c r="B433">
        <v>80489</v>
      </c>
      <c r="C433" t="s">
        <v>1777</v>
      </c>
      <c r="D433" t="s">
        <v>2117</v>
      </c>
      <c r="E433" t="str">
        <f>VLOOKUP(B433,'MASTER DATA SLT'!$C$4:$H$544,6,0)</f>
        <v>BUS</v>
      </c>
      <c r="F433" t="str">
        <f>VLOOKUP(B433,'MASTER DATA SLT'!$C$4:$F$544,4,0)</f>
        <v>2024-11-15</v>
      </c>
      <c r="G433" t="str">
        <f>VLOOKUP(B433,'MASTER DATA SLT'!$C$4:$P$544,14,0)</f>
        <v>71602-0345743</v>
      </c>
      <c r="I433" t="str">
        <f>VLOOKUP(B433,'MASTER DATA SLT'!$C$4:$Q$544,15,0)</f>
        <v>03554451276</v>
      </c>
      <c r="J433">
        <f>VLOOKUP(B433,'MASTER DATA SLT'!$C$4:$R$544,16,0)</f>
        <v>0</v>
      </c>
      <c r="K433">
        <f>VLOOKUP(B433,'MASTER DATA SLT'!$C$4:$S$544,17,0)</f>
        <v>0</v>
      </c>
      <c r="N433" t="str">
        <f>VLOOKUP(B433,'SALARY DETALES'!$B$2:$C$475,2,0)</f>
        <v>Section F2</v>
      </c>
      <c r="O433" t="str">
        <f>VLOOKUP(B433,'SALARY DETALES'!$B$2:$D$475,3,0)</f>
        <v>BW/F</v>
      </c>
      <c r="Q433" t="str">
        <f>VLOOKUP(B433,'MASTER DATA SLT'!$C$4:$F$544,4,0)</f>
        <v>2024-11-15</v>
      </c>
      <c r="R433">
        <f>VLOOKUP(B433,'MASTER DATA SLT'!$C$4:$G$544,5,0)</f>
        <v>0</v>
      </c>
      <c r="U433">
        <f>VLOOKUP(B433,'SALARY DETALES'!$B$2:$S$475,18,0)</f>
        <v>16000</v>
      </c>
    </row>
    <row r="434" spans="1:21" x14ac:dyDescent="0.3">
      <c r="A434">
        <v>433</v>
      </c>
      <c r="B434">
        <v>80564</v>
      </c>
      <c r="C434" t="s">
        <v>647</v>
      </c>
      <c r="D434" t="s">
        <v>2137</v>
      </c>
      <c r="E434" t="str">
        <f>VLOOKUP(B434,'MASTER DATA SLT'!$C$4:$H$544,6,0)</f>
        <v>BUS</v>
      </c>
      <c r="F434" t="str">
        <f>VLOOKUP(B434,'MASTER DATA SLT'!$C$4:$F$544,4,0)</f>
        <v>2024-12-26</v>
      </c>
      <c r="G434" t="str">
        <f>VLOOKUP(B434,'MASTER DATA SLT'!$C$4:$P$544,14,0)</f>
        <v>71501-9450349</v>
      </c>
      <c r="I434" t="str">
        <f>VLOOKUP(B434,'MASTER DATA SLT'!$C$4:$Q$544,15,0)</f>
        <v>0318-7461874</v>
      </c>
      <c r="J434">
        <f>VLOOKUP(B434,'MASTER DATA SLT'!$C$4:$R$544,16,0)</f>
        <v>0</v>
      </c>
      <c r="K434">
        <f>VLOOKUP(B434,'MASTER DATA SLT'!$C$4:$S$544,17,0)</f>
        <v>0</v>
      </c>
      <c r="N434" t="str">
        <f>VLOOKUP(B434,'SALARY DETALES'!$B$2:$C$475,2,0)</f>
        <v>Section F2</v>
      </c>
      <c r="O434" t="str">
        <f>VLOOKUP(B434,'SALARY DETALES'!$B$2:$D$475,3,0)</f>
        <v>B/W</v>
      </c>
      <c r="Q434" t="str">
        <f>VLOOKUP(B434,'MASTER DATA SLT'!$C$4:$F$544,4,0)</f>
        <v>2024-12-26</v>
      </c>
      <c r="R434">
        <f>VLOOKUP(B434,'MASTER DATA SLT'!$C$4:$G$544,5,0)</f>
        <v>0</v>
      </c>
      <c r="U434">
        <f>VLOOKUP(B434,'SALARY DETALES'!$B$2:$S$475,18,0)</f>
        <v>16000</v>
      </c>
    </row>
    <row r="435" spans="1:21" x14ac:dyDescent="0.3">
      <c r="A435">
        <v>434</v>
      </c>
      <c r="B435">
        <v>80615</v>
      </c>
      <c r="C435" t="s">
        <v>2118</v>
      </c>
      <c r="D435" t="s">
        <v>2011</v>
      </c>
      <c r="E435" t="str">
        <f>VLOOKUP(B435,'MASTER DATA SLT'!$C$4:$H$544,6,0)</f>
        <v>BUS</v>
      </c>
      <c r="F435" t="str">
        <f>VLOOKUP(B435,'MASTER DATA SLT'!$C$4:$F$544,4,0)</f>
        <v>2025-02-03</v>
      </c>
      <c r="G435" t="str">
        <f>VLOOKUP(B435,'MASTER DATA SLT'!$C$4:$P$544,14,0)</f>
        <v>7120-26515142</v>
      </c>
      <c r="I435" t="str">
        <f>VLOOKUP(B435,'MASTER DATA SLT'!$C$4:$Q$544,15,0)</f>
        <v>03438818067</v>
      </c>
      <c r="J435">
        <f>VLOOKUP(B435,'MASTER DATA SLT'!$C$4:$R$544,16,0)</f>
        <v>0</v>
      </c>
      <c r="K435">
        <f>VLOOKUP(B435,'MASTER DATA SLT'!$C$4:$S$544,17,0)</f>
        <v>0</v>
      </c>
      <c r="N435" t="str">
        <f>VLOOKUP(B435,'SALARY DETALES'!$B$2:$C$475,2,0)</f>
        <v>Section F2</v>
      </c>
      <c r="O435" t="str">
        <f>VLOOKUP(B435,'SALARY DETALES'!$B$2:$D$475,3,0)</f>
        <v>BW/F</v>
      </c>
      <c r="Q435" t="str">
        <f>VLOOKUP(B435,'MASTER DATA SLT'!$C$4:$F$544,4,0)</f>
        <v>2025-02-03</v>
      </c>
      <c r="R435">
        <f>VLOOKUP(B435,'MASTER DATA SLT'!$C$4:$G$544,5,0)</f>
        <v>0</v>
      </c>
      <c r="U435">
        <f>VLOOKUP(B435,'SALARY DETALES'!$B$2:$S$475,18,0)</f>
        <v>16000</v>
      </c>
    </row>
    <row r="436" spans="1:21" x14ac:dyDescent="0.3">
      <c r="A436">
        <v>435</v>
      </c>
      <c r="B436">
        <v>80777</v>
      </c>
      <c r="C436" t="s">
        <v>88</v>
      </c>
      <c r="D436" t="s">
        <v>2137</v>
      </c>
      <c r="E436" t="str">
        <f>VLOOKUP(B436,'MASTER DATA SLT'!$C$4:$H$544,6,0)</f>
        <v>BUS</v>
      </c>
      <c r="F436" t="str">
        <f>VLOOKUP(B436,'MASTER DATA SLT'!$C$4:$F$544,4,0)</f>
        <v>2025-04-18</v>
      </c>
      <c r="G436" t="str">
        <f>VLOOKUP(B436,'MASTER DATA SLT'!$C$4:$P$544,14,0)</f>
        <v>71202-2614512</v>
      </c>
      <c r="I436" t="str">
        <f>VLOOKUP(B436,'MASTER DATA SLT'!$C$4:$Q$544,15,0)</f>
        <v>03115390218</v>
      </c>
      <c r="J436">
        <f>VLOOKUP(B436,'MASTER DATA SLT'!$C$4:$R$544,16,0)</f>
        <v>0</v>
      </c>
      <c r="K436">
        <f>VLOOKUP(B436,'MASTER DATA SLT'!$C$4:$S$544,17,0)</f>
        <v>0</v>
      </c>
      <c r="N436" t="str">
        <f>VLOOKUP(B436,'SALARY DETALES'!$B$2:$C$475,2,0)</f>
        <v>Section F2</v>
      </c>
      <c r="O436" t="str">
        <f>VLOOKUP(B436,'SALARY DETALES'!$B$2:$D$475,3,0)</f>
        <v>BW/F</v>
      </c>
      <c r="Q436" t="str">
        <f>VLOOKUP(B436,'MASTER DATA SLT'!$C$4:$F$544,4,0)</f>
        <v>2025-04-18</v>
      </c>
      <c r="R436">
        <f>VLOOKUP(B436,'MASTER DATA SLT'!$C$4:$G$544,5,0)</f>
        <v>0</v>
      </c>
      <c r="U436">
        <f>VLOOKUP(B436,'SALARY DETALES'!$B$2:$S$475,18,0)</f>
        <v>16000</v>
      </c>
    </row>
    <row r="437" spans="1:21" x14ac:dyDescent="0.3">
      <c r="A437">
        <v>436</v>
      </c>
      <c r="B437">
        <v>24004</v>
      </c>
      <c r="C437" t="s">
        <v>651</v>
      </c>
      <c r="D437" t="s">
        <v>2137</v>
      </c>
      <c r="E437" t="str">
        <f>VLOOKUP(B437,'MASTER DATA SLT'!$C$4:$H$544,6,0)</f>
        <v>NO</v>
      </c>
      <c r="F437" t="str">
        <f>VLOOKUP(B437,'MASTER DATA SLT'!$C$4:$F$544,4,0)</f>
        <v>2021-12-26</v>
      </c>
      <c r="G437">
        <f>VLOOKUP(B437,'MASTER DATA SLT'!$C$4:$P$544,14,0)</f>
        <v>0</v>
      </c>
      <c r="I437">
        <f>VLOOKUP(B437,'MASTER DATA SLT'!$C$4:$Q$544,15,0)</f>
        <v>0</v>
      </c>
      <c r="J437">
        <f>VLOOKUP(B437,'MASTER DATA SLT'!$C$4:$R$544,16,0)</f>
        <v>0</v>
      </c>
      <c r="K437">
        <f>VLOOKUP(B437,'MASTER DATA SLT'!$C$4:$S$544,17,0)</f>
        <v>0</v>
      </c>
      <c r="N437" t="str">
        <f>VLOOKUP(B437,'SALARY DETALES'!$B$2:$C$475,2,0)</f>
        <v>Staff Food</v>
      </c>
      <c r="O437" t="str">
        <f>VLOOKUP(B437,'SALARY DETALES'!$B$2:$D$475,3,0)</f>
        <v>STAFF FOOD</v>
      </c>
      <c r="Q437" t="str">
        <f>VLOOKUP(B437,'MASTER DATA SLT'!$C$4:$F$544,4,0)</f>
        <v>2021-12-26</v>
      </c>
      <c r="R437">
        <f>VLOOKUP(B437,'MASTER DATA SLT'!$C$4:$G$544,5,0)</f>
        <v>250</v>
      </c>
      <c r="U437">
        <f>VLOOKUP(B437,'SALARY DETALES'!$B$2:$S$475,18,0)</f>
        <v>30000</v>
      </c>
    </row>
    <row r="438" spans="1:21" x14ac:dyDescent="0.3">
      <c r="A438">
        <v>437</v>
      </c>
      <c r="B438">
        <v>24006</v>
      </c>
      <c r="C438" t="s">
        <v>653</v>
      </c>
      <c r="D438" t="s">
        <v>2137</v>
      </c>
      <c r="E438" t="str">
        <f>VLOOKUP(B438,'MASTER DATA SLT'!$C$4:$H$544,6,0)</f>
        <v>NO</v>
      </c>
      <c r="F438" t="str">
        <f>VLOOKUP(B438,'MASTER DATA SLT'!$C$4:$F$544,4,0)</f>
        <v>2023-04-26</v>
      </c>
      <c r="G438">
        <f>VLOOKUP(B438,'MASTER DATA SLT'!$C$4:$P$544,14,0)</f>
        <v>0</v>
      </c>
      <c r="I438">
        <f>VLOOKUP(B438,'MASTER DATA SLT'!$C$4:$Q$544,15,0)</f>
        <v>0</v>
      </c>
      <c r="J438">
        <f>VLOOKUP(B438,'MASTER DATA SLT'!$C$4:$R$544,16,0)</f>
        <v>0</v>
      </c>
      <c r="K438">
        <f>VLOOKUP(B438,'MASTER DATA SLT'!$C$4:$S$544,17,0)</f>
        <v>0</v>
      </c>
      <c r="N438" t="str">
        <f>VLOOKUP(B438,'SALARY DETALES'!$B$2:$C$475,2,0)</f>
        <v>Staff Food</v>
      </c>
      <c r="O438" t="str">
        <f>VLOOKUP(B438,'SALARY DETALES'!$B$2:$D$475,3,0)</f>
        <v>Staff Food Chef</v>
      </c>
      <c r="Q438" t="str">
        <f>VLOOKUP(B438,'MASTER DATA SLT'!$C$4:$F$544,4,0)</f>
        <v>2023-04-26</v>
      </c>
      <c r="R438">
        <f>VLOOKUP(B438,'MASTER DATA SLT'!$C$4:$G$544,5,0)</f>
        <v>250</v>
      </c>
      <c r="U438">
        <f>VLOOKUP(B438,'SALARY DETALES'!$B$2:$S$475,18,0)</f>
        <v>35000</v>
      </c>
    </row>
    <row r="439" spans="1:21" x14ac:dyDescent="0.3">
      <c r="A439">
        <v>438</v>
      </c>
      <c r="B439">
        <v>25001</v>
      </c>
      <c r="C439" t="s">
        <v>1868</v>
      </c>
      <c r="D439" t="s">
        <v>1863</v>
      </c>
      <c r="E439" t="str">
        <f>VLOOKUP(B439,'MASTER DATA SLT'!$C$4:$H$544,6,0)</f>
        <v>NO</v>
      </c>
      <c r="F439" t="str">
        <f>VLOOKUP(B439,'MASTER DATA SLT'!$C$4:$F$544,4,0)</f>
        <v>2022-04-01</v>
      </c>
      <c r="G439" t="str">
        <f>VLOOKUP(B439,'MASTER DATA SLT'!$C$4:$P$544,14,0)</f>
        <v>42401-6635415</v>
      </c>
      <c r="I439">
        <f>VLOOKUP(B439,'MASTER DATA SLT'!$C$4:$Q$544,15,0)</f>
        <v>3152208618</v>
      </c>
      <c r="J439">
        <f>VLOOKUP(B439,'MASTER DATA SLT'!$C$4:$R$544,16,0)</f>
        <v>3103299412</v>
      </c>
      <c r="K439" t="str">
        <f>VLOOKUP(B439,'MASTER DATA SLT'!$C$4:$S$544,17,0)</f>
        <v>HOUSE NO:N648 SEC 7\B SURJANI TOWN KARACHI</v>
      </c>
      <c r="N439" t="str">
        <f>VLOOKUP(B439,'SALARY DETALES'!$B$2:$C$475,2,0)</f>
        <v>STORE</v>
      </c>
      <c r="O439" t="str">
        <f>VLOOKUP(B439,'SALARY DETALES'!$B$2:$D$475,3,0)</f>
        <v>Outdoor Rider</v>
      </c>
      <c r="Q439" t="str">
        <f>VLOOKUP(B439,'MASTER DATA SLT'!$C$4:$F$544,4,0)</f>
        <v>2022-04-01</v>
      </c>
      <c r="R439">
        <f>VLOOKUP(B439,'MASTER DATA SLT'!$C$4:$G$544,5,0)</f>
        <v>360</v>
      </c>
      <c r="U439">
        <f>VLOOKUP(B439,'SALARY DETALES'!$B$2:$S$475,18,0)</f>
        <v>35000</v>
      </c>
    </row>
    <row r="440" spans="1:21" x14ac:dyDescent="0.3">
      <c r="A440">
        <v>439</v>
      </c>
      <c r="B440">
        <v>25011</v>
      </c>
      <c r="C440" t="s">
        <v>164</v>
      </c>
      <c r="D440" t="s">
        <v>2137</v>
      </c>
      <c r="E440" t="str">
        <f>VLOOKUP(B440,'MASTER DATA SLT'!$C$4:$H$544,6,0)</f>
        <v>BUS</v>
      </c>
      <c r="F440" t="str">
        <f>VLOOKUP(B440,'MASTER DATA SLT'!$C$4:$F$544,4,0)</f>
        <v>2022-06-12</v>
      </c>
      <c r="G440">
        <f>VLOOKUP(B440,'MASTER DATA SLT'!$C$4:$P$544,14,0)</f>
        <v>0</v>
      </c>
      <c r="I440">
        <f>VLOOKUP(B440,'MASTER DATA SLT'!$C$4:$Q$544,15,0)</f>
        <v>0</v>
      </c>
      <c r="J440">
        <f>VLOOKUP(B440,'MASTER DATA SLT'!$C$4:$R$544,16,0)</f>
        <v>0</v>
      </c>
      <c r="K440">
        <f>VLOOKUP(B440,'MASTER DATA SLT'!$C$4:$S$544,17,0)</f>
        <v>0</v>
      </c>
      <c r="N440" t="str">
        <f>VLOOKUP(B440,'SALARY DETALES'!$B$2:$C$475,2,0)</f>
        <v>STORE</v>
      </c>
      <c r="O440" t="str">
        <f>VLOOKUP(B440,'SALARY DETALES'!$B$2:$D$475,3,0)</f>
        <v>Store Helper</v>
      </c>
      <c r="Q440" t="str">
        <f>VLOOKUP(B440,'MASTER DATA SLT'!$C$4:$F$544,4,0)</f>
        <v>2022-06-12</v>
      </c>
      <c r="R440">
        <f>VLOOKUP(B440,'MASTER DATA SLT'!$C$4:$G$544,5,0)</f>
        <v>0</v>
      </c>
      <c r="U440">
        <f>VLOOKUP(B440,'SALARY DETALES'!$B$2:$S$475,18,0)</f>
        <v>28000</v>
      </c>
    </row>
    <row r="441" spans="1:21" x14ac:dyDescent="0.3">
      <c r="A441">
        <v>440</v>
      </c>
      <c r="B441">
        <v>25021</v>
      </c>
      <c r="C441" t="s">
        <v>406</v>
      </c>
      <c r="D441" t="s">
        <v>1846</v>
      </c>
      <c r="E441" t="str">
        <f>VLOOKUP(B441,'MASTER DATA SLT'!$C$4:$H$544,6,0)</f>
        <v>NO</v>
      </c>
      <c r="F441" t="str">
        <f>VLOOKUP(B441,'MASTER DATA SLT'!$C$4:$F$544,4,0)</f>
        <v>2024-10-01</v>
      </c>
      <c r="G441" t="str">
        <f>VLOOKUP(B441,'MASTER DATA SLT'!$C$4:$P$544,14,0)</f>
        <v>71201-3323945</v>
      </c>
      <c r="I441" t="str">
        <f>VLOOKUP(B441,'MASTER DATA SLT'!$C$4:$Q$544,15,0)</f>
        <v>03102591291</v>
      </c>
      <c r="J441">
        <f>VLOOKUP(B441,'MASTER DATA SLT'!$C$4:$R$544,16,0)</f>
        <v>0</v>
      </c>
      <c r="K441">
        <f>VLOOKUP(B441,'MASTER DATA SLT'!$C$4:$S$544,17,0)</f>
        <v>0</v>
      </c>
      <c r="N441" t="str">
        <f>VLOOKUP(B441,'SALARY DETALES'!$B$2:$C$475,2,0)</f>
        <v>STORE</v>
      </c>
      <c r="O441" t="str">
        <f>VLOOKUP(B441,'SALARY DETALES'!$B$2:$D$475,3,0)</f>
        <v>Store Data Keeper</v>
      </c>
      <c r="Q441" t="str">
        <f>VLOOKUP(B441,'MASTER DATA SLT'!$C$4:$F$544,4,0)</f>
        <v>2024-10-01</v>
      </c>
      <c r="R441">
        <f>VLOOKUP(B441,'MASTER DATA SLT'!$C$4:$G$544,5,0)</f>
        <v>600</v>
      </c>
      <c r="U441">
        <f>VLOOKUP(B441,'SALARY DETALES'!$B$2:$S$475,18,0)</f>
        <v>40000</v>
      </c>
    </row>
    <row r="442" spans="1:21" x14ac:dyDescent="0.3">
      <c r="A442">
        <v>441</v>
      </c>
      <c r="B442">
        <v>80331</v>
      </c>
      <c r="C442" t="s">
        <v>2119</v>
      </c>
      <c r="D442" t="s">
        <v>1869</v>
      </c>
      <c r="E442" t="str">
        <f>VLOOKUP(B442,'MASTER DATA SLT'!$C$4:$H$544,6,0)</f>
        <v>NO</v>
      </c>
      <c r="F442" t="str">
        <f>VLOOKUP(B442,'MASTER DATA SLT'!$C$4:$F$544,4,0)</f>
        <v>2024-08-01</v>
      </c>
      <c r="G442" t="str">
        <f>VLOOKUP(B442,'MASTER DATA SLT'!$C$4:$P$544,14,0)</f>
        <v>42201-909270-</v>
      </c>
      <c r="I442" t="str">
        <f>VLOOKUP(B442,'MASTER DATA SLT'!$C$4:$Q$544,15,0)</f>
        <v>0336-3530481</v>
      </c>
      <c r="J442">
        <f>VLOOKUP(B442,'MASTER DATA SLT'!$C$4:$R$544,16,0)</f>
        <v>0</v>
      </c>
      <c r="K442">
        <f>VLOOKUP(B442,'MASTER DATA SLT'!$C$4:$S$544,17,0)</f>
        <v>0</v>
      </c>
      <c r="N442" t="str">
        <f>VLOOKUP(B442,'SALARY DETALES'!$B$2:$C$475,2,0)</f>
        <v>STORE</v>
      </c>
      <c r="O442" t="str">
        <f>VLOOKUP(B442,'SALARY DETALES'!$B$2:$D$475,3,0)</f>
        <v>STORE KEEPAR</v>
      </c>
      <c r="Q442" t="str">
        <f>VLOOKUP(B442,'MASTER DATA SLT'!$C$4:$F$544,4,0)</f>
        <v>2024-08-01</v>
      </c>
      <c r="R442">
        <f>VLOOKUP(B442,'MASTER DATA SLT'!$C$4:$G$544,5,0)</f>
        <v>76</v>
      </c>
      <c r="U442">
        <f>VLOOKUP(B442,'SALARY DETALES'!$B$2:$S$475,18,0)</f>
        <v>30000</v>
      </c>
    </row>
    <row r="443" spans="1:21" x14ac:dyDescent="0.3">
      <c r="A443">
        <v>442</v>
      </c>
      <c r="B443">
        <v>80593</v>
      </c>
      <c r="C443" t="s">
        <v>2120</v>
      </c>
      <c r="D443" t="s">
        <v>1917</v>
      </c>
      <c r="E443" t="str">
        <f>VLOOKUP(B443,'MASTER DATA SLT'!$C$4:$H$544,6,0)</f>
        <v>NO</v>
      </c>
      <c r="F443" t="str">
        <f>VLOOKUP(B443,'MASTER DATA SLT'!$C$4:$F$544,4,0)</f>
        <v>2025-01-13</v>
      </c>
      <c r="G443" t="str">
        <f>VLOOKUP(B443,'MASTER DATA SLT'!$C$4:$P$544,14,0)</f>
        <v>42201-7527936</v>
      </c>
      <c r="I443" t="str">
        <f>VLOOKUP(B443,'MASTER DATA SLT'!$C$4:$Q$544,15,0)</f>
        <v>03331319210</v>
      </c>
      <c r="J443">
        <f>VLOOKUP(B443,'MASTER DATA SLT'!$C$4:$R$544,16,0)</f>
        <v>0</v>
      </c>
      <c r="K443">
        <f>VLOOKUP(B443,'MASTER DATA SLT'!$C$4:$S$544,17,0)</f>
        <v>0</v>
      </c>
      <c r="N443" t="str">
        <f>VLOOKUP(B443,'SALARY DETALES'!$B$2:$C$475,2,0)</f>
        <v>STORE</v>
      </c>
      <c r="O443" t="str">
        <f>VLOOKUP(B443,'SALARY DETALES'!$B$2:$D$475,3,0)</f>
        <v>Purchase Incharge</v>
      </c>
      <c r="Q443" t="str">
        <f>VLOOKUP(B443,'MASTER DATA SLT'!$C$4:$F$544,4,0)</f>
        <v>2025-01-13</v>
      </c>
      <c r="R443">
        <f>VLOOKUP(B443,'MASTER DATA SLT'!$C$4:$G$544,5,0)</f>
        <v>300</v>
      </c>
      <c r="U443">
        <f>VLOOKUP(B443,'SALARY DETALES'!$B$2:$S$475,18,0)</f>
        <v>40000</v>
      </c>
    </row>
    <row r="444" spans="1:21" x14ac:dyDescent="0.3">
      <c r="A444">
        <v>443</v>
      </c>
      <c r="B444">
        <v>80759</v>
      </c>
      <c r="C444" t="s">
        <v>2121</v>
      </c>
      <c r="D444" t="s">
        <v>2122</v>
      </c>
      <c r="E444" t="str">
        <f>VLOOKUP(B444,'MASTER DATA SLT'!$C$4:$H$544,6,0)</f>
        <v>NO</v>
      </c>
      <c r="F444" t="str">
        <f>VLOOKUP(B444,'MASTER DATA SLT'!$C$4:$F$544,4,0)</f>
        <v>2025-04-02</v>
      </c>
      <c r="G444" t="str">
        <f>VLOOKUP(B444,'MASTER DATA SLT'!$C$4:$P$544,14,0)</f>
        <v>42201-2948192</v>
      </c>
      <c r="I444" t="str">
        <f>VLOOKUP(B444,'MASTER DATA SLT'!$C$4:$Q$544,15,0)</f>
        <v>0310-1169889</v>
      </c>
      <c r="J444">
        <f>VLOOKUP(B444,'MASTER DATA SLT'!$C$4:$R$544,16,0)</f>
        <v>0</v>
      </c>
      <c r="K444">
        <f>VLOOKUP(B444,'MASTER DATA SLT'!$C$4:$S$544,17,0)</f>
        <v>0</v>
      </c>
      <c r="N444" t="str">
        <f>VLOOKUP(B444,'SALARY DETALES'!$B$2:$C$475,2,0)</f>
        <v>STORE</v>
      </c>
      <c r="O444" t="str">
        <f>VLOOKUP(B444,'SALARY DETALES'!$B$2:$D$475,3,0)</f>
        <v>STORE HELPER</v>
      </c>
      <c r="Q444" t="str">
        <f>VLOOKUP(B444,'MASTER DATA SLT'!$C$4:$F$544,4,0)</f>
        <v>2025-04-02</v>
      </c>
      <c r="R444">
        <f>VLOOKUP(B444,'MASTER DATA SLT'!$C$4:$G$544,5,0)</f>
        <v>195</v>
      </c>
      <c r="U444">
        <f>VLOOKUP(B444,'SALARY DETALES'!$B$2:$S$475,18,0)</f>
        <v>28000</v>
      </c>
    </row>
    <row r="445" spans="1:21" x14ac:dyDescent="0.3">
      <c r="A445">
        <v>444</v>
      </c>
      <c r="B445">
        <v>80763</v>
      </c>
      <c r="C445" t="s">
        <v>1982</v>
      </c>
      <c r="D445" t="s">
        <v>2140</v>
      </c>
      <c r="E445" t="str">
        <f>VLOOKUP(B445,'MASTER DATA SLT'!$C$4:$H$544,6,0)</f>
        <v>BUS</v>
      </c>
      <c r="F445" t="str">
        <f>VLOOKUP(B445,'MASTER DATA SLT'!$C$4:$F$544,4,0)</f>
        <v>2025-04-12</v>
      </c>
      <c r="G445">
        <f>VLOOKUP(B445,'MASTER DATA SLT'!$C$4:$P$544,14,0)</f>
        <v>0</v>
      </c>
      <c r="I445">
        <f>VLOOKUP(B445,'MASTER DATA SLT'!$C$4:$Q$544,15,0)</f>
        <v>0</v>
      </c>
      <c r="J445">
        <f>VLOOKUP(B445,'MASTER DATA SLT'!$C$4:$R$544,16,0)</f>
        <v>0</v>
      </c>
      <c r="K445">
        <f>VLOOKUP(B445,'MASTER DATA SLT'!$C$4:$S$544,17,0)</f>
        <v>0</v>
      </c>
      <c r="N445" t="str">
        <f>VLOOKUP(B445,'SALARY DETALES'!$B$2:$C$475,2,0)</f>
        <v>STORE</v>
      </c>
      <c r="O445" t="str">
        <f>VLOOKUP(B445,'SALARY DETALES'!$B$2:$D$475,3,0)</f>
        <v>STORE HELPER</v>
      </c>
      <c r="Q445" t="str">
        <f>VLOOKUP(B445,'MASTER DATA SLT'!$C$4:$F$544,4,0)</f>
        <v>2025-04-12</v>
      </c>
      <c r="R445">
        <f>VLOOKUP(B445,'MASTER DATA SLT'!$C$4:$G$544,5,0)</f>
        <v>0</v>
      </c>
      <c r="U445">
        <f>VLOOKUP(B445,'SALARY DETALES'!$B$2:$S$475,18,0)</f>
        <v>28000</v>
      </c>
    </row>
    <row r="446" spans="1:21" x14ac:dyDescent="0.3">
      <c r="A446">
        <v>445</v>
      </c>
      <c r="B446">
        <v>26019</v>
      </c>
      <c r="C446" t="s">
        <v>2123</v>
      </c>
      <c r="D446" t="s">
        <v>2156</v>
      </c>
      <c r="E446" t="str">
        <f>VLOOKUP(B446,'MASTER DATA SLT'!$C$4:$H$544,6,0)</f>
        <v>BUS</v>
      </c>
      <c r="F446" t="str">
        <f>VLOOKUP(B446,'MASTER DATA SLT'!$C$4:$F$544,4,0)</f>
        <v>2021-12-21</v>
      </c>
      <c r="G446">
        <f>VLOOKUP(B446,'MASTER DATA SLT'!$C$4:$P$544,14,0)</f>
        <v>0</v>
      </c>
      <c r="I446">
        <f>VLOOKUP(B446,'MASTER DATA SLT'!$C$4:$Q$544,15,0)</f>
        <v>0</v>
      </c>
      <c r="J446">
        <f>VLOOKUP(B446,'MASTER DATA SLT'!$C$4:$R$544,16,0)</f>
        <v>0</v>
      </c>
      <c r="K446">
        <f>VLOOKUP(B446,'MASTER DATA SLT'!$C$4:$S$544,17,0)</f>
        <v>0</v>
      </c>
      <c r="N446" t="str">
        <f>VLOOKUP(B446,'SALARY DETALES'!$B$2:$C$475,2,0)</f>
        <v>Tandoor</v>
      </c>
      <c r="O446" t="str">
        <f>VLOOKUP(B446,'SALARY DETALES'!$B$2:$D$475,3,0)</f>
        <v>TANDOOR HELPER</v>
      </c>
      <c r="Q446" t="str">
        <f>VLOOKUP(B446,'MASTER DATA SLT'!$C$4:$F$544,4,0)</f>
        <v>2021-12-21</v>
      </c>
      <c r="R446">
        <f>VLOOKUP(B446,'MASTER DATA SLT'!$C$4:$G$544,5,0)</f>
        <v>0</v>
      </c>
      <c r="U446">
        <f>VLOOKUP(B446,'SALARY DETALES'!$B$2:$S$475,18,0)</f>
        <v>38500</v>
      </c>
    </row>
    <row r="447" spans="1:21" x14ac:dyDescent="0.3">
      <c r="A447">
        <v>446</v>
      </c>
      <c r="B447">
        <v>26021</v>
      </c>
      <c r="C447" t="s">
        <v>1874</v>
      </c>
      <c r="D447" t="s">
        <v>1883</v>
      </c>
      <c r="E447" t="str">
        <f>VLOOKUP(B447,'MASTER DATA SLT'!$C$4:$H$544,6,0)</f>
        <v>BUS</v>
      </c>
      <c r="F447" t="str">
        <f>VLOOKUP(B447,'MASTER DATA SLT'!$C$4:$F$544,4,0)</f>
        <v>2021-11-27</v>
      </c>
      <c r="G447">
        <f>VLOOKUP(B447,'MASTER DATA SLT'!$C$4:$P$544,14,0)</f>
        <v>0</v>
      </c>
      <c r="I447">
        <f>VLOOKUP(B447,'MASTER DATA SLT'!$C$4:$Q$544,15,0)</f>
        <v>0</v>
      </c>
      <c r="J447">
        <f>VLOOKUP(B447,'MASTER DATA SLT'!$C$4:$R$544,16,0)</f>
        <v>0</v>
      </c>
      <c r="K447">
        <f>VLOOKUP(B447,'MASTER DATA SLT'!$C$4:$S$544,17,0)</f>
        <v>0</v>
      </c>
      <c r="N447" t="str">
        <f>VLOOKUP(B447,'SALARY DETALES'!$B$2:$C$475,2,0)</f>
        <v>Tandoor</v>
      </c>
      <c r="O447" t="str">
        <f>VLOOKUP(B447,'SALARY DETALES'!$B$2:$D$475,3,0)</f>
        <v>Tandoor Cook</v>
      </c>
      <c r="Q447" t="str">
        <f>VLOOKUP(B447,'MASTER DATA SLT'!$C$4:$F$544,4,0)</f>
        <v>2021-11-27</v>
      </c>
      <c r="R447">
        <f>VLOOKUP(B447,'MASTER DATA SLT'!$C$4:$G$544,5,0)</f>
        <v>0</v>
      </c>
      <c r="U447">
        <f>VLOOKUP(B447,'SALARY DETALES'!$B$2:$S$475,18,0)</f>
        <v>40700</v>
      </c>
    </row>
    <row r="448" spans="1:21" x14ac:dyDescent="0.3">
      <c r="A448">
        <v>447</v>
      </c>
      <c r="B448">
        <v>26024</v>
      </c>
      <c r="C448" t="s">
        <v>672</v>
      </c>
      <c r="D448" t="s">
        <v>2137</v>
      </c>
      <c r="E448" t="str">
        <f>VLOOKUP(B448,'MASTER DATA SLT'!$C$4:$H$544,6,0)</f>
        <v>BUS</v>
      </c>
      <c r="F448" t="str">
        <f>VLOOKUP(B448,'MASTER DATA SLT'!$C$4:$F$544,4,0)</f>
        <v>2021-11-21</v>
      </c>
      <c r="G448">
        <f>VLOOKUP(B448,'MASTER DATA SLT'!$C$4:$P$544,14,0)</f>
        <v>0</v>
      </c>
      <c r="I448">
        <f>VLOOKUP(B448,'MASTER DATA SLT'!$C$4:$Q$544,15,0)</f>
        <v>0</v>
      </c>
      <c r="J448">
        <f>VLOOKUP(B448,'MASTER DATA SLT'!$C$4:$R$544,16,0)</f>
        <v>0</v>
      </c>
      <c r="K448">
        <f>VLOOKUP(B448,'MASTER DATA SLT'!$C$4:$S$544,17,0)</f>
        <v>0</v>
      </c>
      <c r="N448" t="str">
        <f>VLOOKUP(B448,'SALARY DETALES'!$B$2:$C$475,2,0)</f>
        <v>Tandoor</v>
      </c>
      <c r="O448" t="str">
        <f>VLOOKUP(B448,'SALARY DETALES'!$B$2:$D$475,3,0)</f>
        <v>Tandoor Cook</v>
      </c>
      <c r="Q448" t="str">
        <f>VLOOKUP(B448,'MASTER DATA SLT'!$C$4:$F$544,4,0)</f>
        <v>2021-11-21</v>
      </c>
      <c r="R448">
        <f>VLOOKUP(B448,'MASTER DATA SLT'!$C$4:$G$544,5,0)</f>
        <v>0</v>
      </c>
      <c r="U448">
        <f>VLOOKUP(B448,'SALARY DETALES'!$B$2:$S$475,18,0)</f>
        <v>55000</v>
      </c>
    </row>
    <row r="449" spans="1:21" x14ac:dyDescent="0.3">
      <c r="A449">
        <v>448</v>
      </c>
      <c r="B449">
        <v>7007</v>
      </c>
      <c r="C449" t="s">
        <v>674</v>
      </c>
      <c r="D449" t="s">
        <v>2137</v>
      </c>
      <c r="E449" t="str">
        <f>VLOOKUP(B449,'MASTER DATA SLT'!$C$4:$H$544,6,0)</f>
        <v>BUS</v>
      </c>
      <c r="F449" t="str">
        <f>VLOOKUP(B449,'MASTER DATA SLT'!$C$4:$F$544,4,0)</f>
        <v>2022-04-27</v>
      </c>
      <c r="G449">
        <f>VLOOKUP(B449,'MASTER DATA SLT'!$C$4:$P$544,14,0)</f>
        <v>0</v>
      </c>
      <c r="I449">
        <f>VLOOKUP(B449,'MASTER DATA SLT'!$C$4:$Q$544,15,0)</f>
        <v>0</v>
      </c>
      <c r="J449">
        <f>VLOOKUP(B449,'MASTER DATA SLT'!$C$4:$R$544,16,0)</f>
        <v>0</v>
      </c>
      <c r="K449">
        <f>VLOOKUP(B449,'MASTER DATA SLT'!$C$4:$S$544,17,0)</f>
        <v>0</v>
      </c>
      <c r="N449" t="str">
        <f>VLOOKUP(B449,'SALARY DETALES'!$B$2:$C$475,2,0)</f>
        <v>Tandoor</v>
      </c>
      <c r="O449" t="str">
        <f>VLOOKUP(B449,'SALARY DETALES'!$B$2:$D$475,3,0)</f>
        <v>CHAPATI</v>
      </c>
      <c r="Q449" t="str">
        <f>VLOOKUP(B449,'MASTER DATA SLT'!$C$4:$F$544,4,0)</f>
        <v>2022-04-27</v>
      </c>
      <c r="R449">
        <f>VLOOKUP(B449,'MASTER DATA SLT'!$C$4:$G$544,5,0)</f>
        <v>0</v>
      </c>
      <c r="U449">
        <f>VLOOKUP(B449,'SALARY DETALES'!$B$2:$S$475,18,0)</f>
        <v>37200</v>
      </c>
    </row>
    <row r="450" spans="1:21" x14ac:dyDescent="0.3">
      <c r="A450">
        <v>449</v>
      </c>
      <c r="B450">
        <v>22112</v>
      </c>
      <c r="C450" t="s">
        <v>2044</v>
      </c>
      <c r="D450" t="s">
        <v>1863</v>
      </c>
      <c r="E450" t="str">
        <f>VLOOKUP(B450,'MASTER DATA SLT'!$C$4:$H$544,6,0)</f>
        <v>NO</v>
      </c>
      <c r="F450" t="str">
        <f>VLOOKUP(B450,'MASTER DATA SLT'!$C$4:$F$544,4,0)</f>
        <v>2021-06-26</v>
      </c>
      <c r="G450">
        <f>VLOOKUP(B450,'MASTER DATA SLT'!$C$4:$P$544,14,0)</f>
        <v>0</v>
      </c>
      <c r="I450">
        <f>VLOOKUP(B450,'MASTER DATA SLT'!$C$4:$Q$544,15,0)</f>
        <v>0</v>
      </c>
      <c r="J450">
        <f>VLOOKUP(B450,'MASTER DATA SLT'!$C$4:$R$544,16,0)</f>
        <v>0</v>
      </c>
      <c r="K450">
        <f>VLOOKUP(B450,'MASTER DATA SLT'!$C$4:$S$544,17,0)</f>
        <v>0</v>
      </c>
      <c r="N450" t="str">
        <f>VLOOKUP(B450,'SALARY DETALES'!$B$2:$C$475,2,0)</f>
        <v>Tandoor</v>
      </c>
      <c r="O450" t="str">
        <f>VLOOKUP(B450,'SALARY DETALES'!$B$2:$D$475,3,0)</f>
        <v>Tandoor helper</v>
      </c>
      <c r="Q450" t="str">
        <f>VLOOKUP(B450,'MASTER DATA SLT'!$C$4:$F$544,4,0)</f>
        <v>2021-06-26</v>
      </c>
      <c r="R450">
        <f>VLOOKUP(B450,'MASTER DATA SLT'!$C$4:$G$544,5,0)</f>
        <v>45</v>
      </c>
      <c r="U450">
        <f>VLOOKUP(B450,'SALARY DETALES'!$B$2:$S$475,18,0)</f>
        <v>25000</v>
      </c>
    </row>
    <row r="451" spans="1:21" x14ac:dyDescent="0.3">
      <c r="A451">
        <v>450</v>
      </c>
      <c r="B451">
        <v>13036</v>
      </c>
      <c r="C451" t="s">
        <v>1848</v>
      </c>
      <c r="D451" t="s">
        <v>1956</v>
      </c>
      <c r="E451" t="str">
        <f>VLOOKUP(B451,'MASTER DATA SLT'!$C$4:$H$544,6,0)</f>
        <v>BUS</v>
      </c>
      <c r="F451" t="str">
        <f>VLOOKUP(B451,'MASTER DATA SLT'!$C$4:$F$544,4,0)</f>
        <v>2022-10-03</v>
      </c>
      <c r="G451">
        <f>VLOOKUP(B451,'MASTER DATA SLT'!$C$4:$P$544,14,0)</f>
        <v>0</v>
      </c>
      <c r="I451">
        <f>VLOOKUP(B451,'MASTER DATA SLT'!$C$4:$Q$544,15,0)</f>
        <v>0</v>
      </c>
      <c r="J451">
        <f>VLOOKUP(B451,'MASTER DATA SLT'!$C$4:$R$544,16,0)</f>
        <v>0</v>
      </c>
      <c r="K451">
        <f>VLOOKUP(B451,'MASTER DATA SLT'!$C$4:$S$544,17,0)</f>
        <v>0</v>
      </c>
      <c r="N451" t="str">
        <f>VLOOKUP(B451,'SALARY DETALES'!$B$2:$C$475,2,0)</f>
        <v>Tandoor</v>
      </c>
      <c r="O451" t="str">
        <f>VLOOKUP(B451,'SALARY DETALES'!$B$2:$D$475,3,0)</f>
        <v>Tandoor Helper</v>
      </c>
      <c r="Q451" t="str">
        <f>VLOOKUP(B451,'MASTER DATA SLT'!$C$4:$F$544,4,0)</f>
        <v>2022-10-03</v>
      </c>
      <c r="R451">
        <f>VLOOKUP(B451,'MASTER DATA SLT'!$C$4:$G$544,5,0)</f>
        <v>0</v>
      </c>
      <c r="U451">
        <f>VLOOKUP(B451,'SALARY DETALES'!$B$2:$S$475,18,0)</f>
        <v>30250</v>
      </c>
    </row>
    <row r="452" spans="1:21" x14ac:dyDescent="0.3">
      <c r="A452">
        <v>451</v>
      </c>
      <c r="B452">
        <v>24003</v>
      </c>
      <c r="C452" t="s">
        <v>354</v>
      </c>
      <c r="D452" t="s">
        <v>2137</v>
      </c>
      <c r="E452" t="str">
        <f>VLOOKUP(B452,'MASTER DATA SLT'!$C$4:$H$544,6,0)</f>
        <v>BUS</v>
      </c>
      <c r="F452" t="str">
        <f>VLOOKUP(B452,'MASTER DATA SLT'!$C$4:$F$544,4,0)</f>
        <v>2023-09-27</v>
      </c>
      <c r="G452">
        <f>VLOOKUP(B452,'MASTER DATA SLT'!$C$4:$P$544,14,0)</f>
        <v>0</v>
      </c>
      <c r="I452">
        <f>VLOOKUP(B452,'MASTER DATA SLT'!$C$4:$Q$544,15,0)</f>
        <v>0</v>
      </c>
      <c r="J452">
        <f>VLOOKUP(B452,'MASTER DATA SLT'!$C$4:$R$544,16,0)</f>
        <v>0</v>
      </c>
      <c r="K452">
        <f>VLOOKUP(B452,'MASTER DATA SLT'!$C$4:$S$544,17,0)</f>
        <v>0</v>
      </c>
      <c r="N452" t="str">
        <f>VLOOKUP(B452,'SALARY DETALES'!$B$2:$C$475,2,0)</f>
        <v>Tandoor</v>
      </c>
      <c r="O452" t="str">
        <f>VLOOKUP(B452,'SALARY DETALES'!$B$2:$D$475,3,0)</f>
        <v>Tandoor Helper</v>
      </c>
      <c r="Q452" t="str">
        <f>VLOOKUP(B452,'MASTER DATA SLT'!$C$4:$F$544,4,0)</f>
        <v>2023-09-27</v>
      </c>
      <c r="R452">
        <f>VLOOKUP(B452,'MASTER DATA SLT'!$C$4:$G$544,5,0)</f>
        <v>0</v>
      </c>
      <c r="U452">
        <f>VLOOKUP(B452,'SALARY DETALES'!$B$2:$S$475,18,0)</f>
        <v>33000</v>
      </c>
    </row>
    <row r="453" spans="1:21" x14ac:dyDescent="0.3">
      <c r="A453">
        <v>452</v>
      </c>
      <c r="B453">
        <v>26049</v>
      </c>
      <c r="C453" t="s">
        <v>678</v>
      </c>
      <c r="D453" t="s">
        <v>2137</v>
      </c>
      <c r="E453" t="str">
        <f>VLOOKUP(B453,'MASTER DATA SLT'!$C$4:$H$544,6,0)</f>
        <v>BUS</v>
      </c>
      <c r="F453" t="str">
        <f>VLOOKUP(B453,'MASTER DATA SLT'!$C$4:$F$544,4,0)</f>
        <v>2023-10-14</v>
      </c>
      <c r="G453">
        <f>VLOOKUP(B453,'MASTER DATA SLT'!$C$4:$P$544,14,0)</f>
        <v>0</v>
      </c>
      <c r="I453">
        <f>VLOOKUP(B453,'MASTER DATA SLT'!$C$4:$Q$544,15,0)</f>
        <v>0</v>
      </c>
      <c r="J453">
        <f>VLOOKUP(B453,'MASTER DATA SLT'!$C$4:$R$544,16,0)</f>
        <v>0</v>
      </c>
      <c r="K453">
        <f>VLOOKUP(B453,'MASTER DATA SLT'!$C$4:$S$544,17,0)</f>
        <v>0</v>
      </c>
      <c r="N453" t="str">
        <f>VLOOKUP(B453,'SALARY DETALES'!$B$2:$C$475,2,0)</f>
        <v>Tandoor</v>
      </c>
      <c r="O453" t="str">
        <f>VLOOKUP(B453,'SALARY DETALES'!$B$2:$D$475,3,0)</f>
        <v>Tandoor Cook</v>
      </c>
      <c r="Q453" t="str">
        <f>VLOOKUP(B453,'MASTER DATA SLT'!$C$4:$F$544,4,0)</f>
        <v>2023-10-14</v>
      </c>
      <c r="R453">
        <f>VLOOKUP(B453,'MASTER DATA SLT'!$C$4:$G$544,5,0)</f>
        <v>0</v>
      </c>
      <c r="U453">
        <f>VLOOKUP(B453,'SALARY DETALES'!$B$2:$S$475,18,0)</f>
        <v>54000</v>
      </c>
    </row>
    <row r="454" spans="1:21" x14ac:dyDescent="0.3">
      <c r="A454">
        <v>453</v>
      </c>
      <c r="B454">
        <v>26053</v>
      </c>
      <c r="C454" t="s">
        <v>651</v>
      </c>
      <c r="D454" t="s">
        <v>1954</v>
      </c>
      <c r="E454" t="str">
        <f>VLOOKUP(B454,'MASTER DATA SLT'!$C$4:$H$544,6,0)</f>
        <v>BUS</v>
      </c>
      <c r="F454" t="str">
        <f>VLOOKUP(B454,'MASTER DATA SLT'!$C$4:$F$544,4,0)</f>
        <v>2023-11-21</v>
      </c>
      <c r="G454">
        <f>VLOOKUP(B454,'MASTER DATA SLT'!$C$4:$P$544,14,0)</f>
        <v>0</v>
      </c>
      <c r="I454">
        <f>VLOOKUP(B454,'MASTER DATA SLT'!$C$4:$Q$544,15,0)</f>
        <v>0</v>
      </c>
      <c r="J454">
        <f>VLOOKUP(B454,'MASTER DATA SLT'!$C$4:$R$544,16,0)</f>
        <v>0</v>
      </c>
      <c r="K454">
        <f>VLOOKUP(B454,'MASTER DATA SLT'!$C$4:$S$544,17,0)</f>
        <v>0</v>
      </c>
      <c r="N454" t="str">
        <f>VLOOKUP(B454,'SALARY DETALES'!$B$2:$C$475,2,0)</f>
        <v>Tandoor</v>
      </c>
      <c r="O454" t="str">
        <f>VLOOKUP(B454,'SALARY DETALES'!$B$2:$D$475,3,0)</f>
        <v>Tandoor Cook</v>
      </c>
      <c r="Q454" t="str">
        <f>VLOOKUP(B454,'MASTER DATA SLT'!$C$4:$F$544,4,0)</f>
        <v>2023-11-21</v>
      </c>
      <c r="R454">
        <f>VLOOKUP(B454,'MASTER DATA SLT'!$C$4:$G$544,5,0)</f>
        <v>0</v>
      </c>
      <c r="U454">
        <f>VLOOKUP(B454,'SALARY DETALES'!$B$2:$S$475,18,0)</f>
        <v>46200</v>
      </c>
    </row>
    <row r="455" spans="1:21" x14ac:dyDescent="0.3">
      <c r="A455">
        <v>454</v>
      </c>
      <c r="B455">
        <v>26054</v>
      </c>
      <c r="C455" t="s">
        <v>2124</v>
      </c>
      <c r="D455" t="s">
        <v>1883</v>
      </c>
      <c r="E455" t="str">
        <f>VLOOKUP(B455,'MASTER DATA SLT'!$C$4:$H$544,6,0)</f>
        <v>BUS</v>
      </c>
      <c r="F455" t="str">
        <f>VLOOKUP(B455,'MASTER DATA SLT'!$C$4:$F$544,4,0)</f>
        <v>2023-12-16</v>
      </c>
      <c r="G455">
        <f>VLOOKUP(B455,'MASTER DATA SLT'!$C$4:$P$544,14,0)</f>
        <v>0</v>
      </c>
      <c r="I455">
        <f>VLOOKUP(B455,'MASTER DATA SLT'!$C$4:$Q$544,15,0)</f>
        <v>0</v>
      </c>
      <c r="J455">
        <f>VLOOKUP(B455,'MASTER DATA SLT'!$C$4:$R$544,16,0)</f>
        <v>0</v>
      </c>
      <c r="K455">
        <f>VLOOKUP(B455,'MASTER DATA SLT'!$C$4:$S$544,17,0)</f>
        <v>0</v>
      </c>
      <c r="N455" t="str">
        <f>VLOOKUP(B455,'SALARY DETALES'!$B$2:$C$475,2,0)</f>
        <v>Tandoor</v>
      </c>
      <c r="O455" t="str">
        <f>VLOOKUP(B455,'SALARY DETALES'!$B$2:$D$475,3,0)</f>
        <v>Tandoor Helper</v>
      </c>
      <c r="Q455" t="str">
        <f>VLOOKUP(B455,'MASTER DATA SLT'!$C$4:$F$544,4,0)</f>
        <v>2023-12-16</v>
      </c>
      <c r="R455">
        <f>VLOOKUP(B455,'MASTER DATA SLT'!$C$4:$G$544,5,0)</f>
        <v>0</v>
      </c>
      <c r="U455">
        <f>VLOOKUP(B455,'SALARY DETALES'!$B$2:$S$475,18,0)</f>
        <v>33000</v>
      </c>
    </row>
    <row r="456" spans="1:21" x14ac:dyDescent="0.3">
      <c r="A456">
        <v>455</v>
      </c>
      <c r="B456">
        <v>26056</v>
      </c>
      <c r="C456" t="s">
        <v>2125</v>
      </c>
      <c r="D456" t="s">
        <v>1883</v>
      </c>
      <c r="E456" t="str">
        <f>VLOOKUP(B456,'MASTER DATA SLT'!$C$4:$H$544,6,0)</f>
        <v>BUS</v>
      </c>
      <c r="F456" t="str">
        <f>VLOOKUP(B456,'MASTER DATA SLT'!$C$4:$F$544,4,0)</f>
        <v>2023-12-29</v>
      </c>
      <c r="G456">
        <f>VLOOKUP(B456,'MASTER DATA SLT'!$C$4:$P$544,14,0)</f>
        <v>0</v>
      </c>
      <c r="I456">
        <f>VLOOKUP(B456,'MASTER DATA SLT'!$C$4:$Q$544,15,0)</f>
        <v>0</v>
      </c>
      <c r="J456">
        <f>VLOOKUP(B456,'MASTER DATA SLT'!$C$4:$R$544,16,0)</f>
        <v>0</v>
      </c>
      <c r="K456">
        <f>VLOOKUP(B456,'MASTER DATA SLT'!$C$4:$S$544,17,0)</f>
        <v>0</v>
      </c>
      <c r="N456" t="str">
        <f>VLOOKUP(B456,'SALARY DETALES'!$B$2:$C$475,2,0)</f>
        <v>Tandoor</v>
      </c>
      <c r="O456" t="str">
        <f>VLOOKUP(B456,'SALARY DETALES'!$B$2:$D$475,3,0)</f>
        <v>Tandoor Cook</v>
      </c>
      <c r="Q456" t="str">
        <f>VLOOKUP(B456,'MASTER DATA SLT'!$C$4:$F$544,4,0)</f>
        <v>2023-12-29</v>
      </c>
      <c r="R456">
        <f>VLOOKUP(B456,'MASTER DATA SLT'!$C$4:$G$544,5,0)</f>
        <v>0</v>
      </c>
      <c r="U456">
        <f>VLOOKUP(B456,'SALARY DETALES'!$B$2:$S$475,18,0)</f>
        <v>49500</v>
      </c>
    </row>
    <row r="457" spans="1:21" x14ac:dyDescent="0.3">
      <c r="A457">
        <v>456</v>
      </c>
      <c r="B457">
        <v>7012</v>
      </c>
      <c r="C457" t="s">
        <v>2126</v>
      </c>
      <c r="D457" t="s">
        <v>1954</v>
      </c>
      <c r="E457" t="str">
        <f>VLOOKUP(B457,'MASTER DATA SLT'!$C$4:$H$544,6,0)</f>
        <v>BUS</v>
      </c>
      <c r="F457" t="str">
        <f>VLOOKUP(B457,'MASTER DATA SLT'!$C$4:$F$544,4,0)</f>
        <v>2024-03-01</v>
      </c>
      <c r="G457">
        <f>VLOOKUP(B457,'MASTER DATA SLT'!$C$4:$P$544,14,0)</f>
        <v>0</v>
      </c>
      <c r="I457">
        <f>VLOOKUP(B457,'MASTER DATA SLT'!$C$4:$Q$544,15,0)</f>
        <v>0</v>
      </c>
      <c r="J457">
        <f>VLOOKUP(B457,'MASTER DATA SLT'!$C$4:$R$544,16,0)</f>
        <v>0</v>
      </c>
      <c r="K457">
        <f>VLOOKUP(B457,'MASTER DATA SLT'!$C$4:$S$544,17,0)</f>
        <v>0</v>
      </c>
      <c r="N457" t="str">
        <f>VLOOKUP(B457,'SALARY DETALES'!$B$2:$C$475,2,0)</f>
        <v>Tandoor</v>
      </c>
      <c r="O457" t="str">
        <f>VLOOKUP(B457,'SALARY DETALES'!$B$2:$D$475,3,0)</f>
        <v>CHAPATI</v>
      </c>
      <c r="Q457" t="str">
        <f>VLOOKUP(B457,'MASTER DATA SLT'!$C$4:$F$544,4,0)</f>
        <v>2024-03-01</v>
      </c>
      <c r="R457">
        <f>VLOOKUP(B457,'MASTER DATA SLT'!$C$4:$G$544,5,0)</f>
        <v>0</v>
      </c>
      <c r="U457">
        <f>VLOOKUP(B457,'SALARY DETALES'!$B$2:$S$475,18,0)</f>
        <v>35200</v>
      </c>
    </row>
    <row r="458" spans="1:21" x14ac:dyDescent="0.3">
      <c r="A458">
        <v>457</v>
      </c>
      <c r="B458">
        <v>80733</v>
      </c>
      <c r="C458" t="s">
        <v>683</v>
      </c>
      <c r="D458" t="s">
        <v>2137</v>
      </c>
      <c r="E458" t="str">
        <f>VLOOKUP(B458,'MASTER DATA SLT'!$C$4:$H$544,6,0)</f>
        <v>BUS</v>
      </c>
      <c r="F458" t="str">
        <f>VLOOKUP(B458,'MASTER DATA SLT'!$C$4:$F$544,4,0)</f>
        <v>2025-03-23</v>
      </c>
      <c r="G458">
        <f>VLOOKUP(B458,'MASTER DATA SLT'!$C$4:$P$544,14,0)</f>
        <v>0</v>
      </c>
      <c r="I458">
        <f>VLOOKUP(B458,'MASTER DATA SLT'!$C$4:$Q$544,15,0)</f>
        <v>0</v>
      </c>
      <c r="J458">
        <f>VLOOKUP(B458,'MASTER DATA SLT'!$C$4:$R$544,16,0)</f>
        <v>0</v>
      </c>
      <c r="K458">
        <f>VLOOKUP(B458,'MASTER DATA SLT'!$C$4:$S$544,17,0)</f>
        <v>0</v>
      </c>
      <c r="N458" t="str">
        <f>VLOOKUP(B458,'SALARY DETALES'!$B$2:$C$475,2,0)</f>
        <v>Tandoor</v>
      </c>
      <c r="O458" t="str">
        <f>VLOOKUP(B458,'SALARY DETALES'!$B$2:$D$475,3,0)</f>
        <v>HELPER</v>
      </c>
      <c r="Q458" t="str">
        <f>VLOOKUP(B458,'MASTER DATA SLT'!$C$4:$F$544,4,0)</f>
        <v>2025-03-23</v>
      </c>
      <c r="R458">
        <f>VLOOKUP(B458,'MASTER DATA SLT'!$C$4:$G$544,5,0)</f>
        <v>0</v>
      </c>
      <c r="U458">
        <f>VLOOKUP(B458,'SALARY DETALES'!$B$2:$S$475,18,0)</f>
        <v>25000</v>
      </c>
    </row>
    <row r="459" spans="1:21" x14ac:dyDescent="0.3">
      <c r="A459">
        <v>458</v>
      </c>
      <c r="B459">
        <v>7003</v>
      </c>
      <c r="C459" t="s">
        <v>1857</v>
      </c>
      <c r="D459" t="s">
        <v>2127</v>
      </c>
      <c r="E459" t="str">
        <f>VLOOKUP(B459,'MASTER DATA SLT'!$C$4:$H$544,6,0)</f>
        <v>BUS</v>
      </c>
      <c r="F459" t="str">
        <f>VLOOKUP(B459,'MASTER DATA SLT'!$C$4:$F$544,4,0)</f>
        <v>2021-12-30</v>
      </c>
      <c r="G459">
        <f>VLOOKUP(B459,'MASTER DATA SLT'!$C$4:$P$544,14,0)</f>
        <v>0</v>
      </c>
      <c r="I459">
        <f>VLOOKUP(B459,'MASTER DATA SLT'!$C$4:$Q$544,15,0)</f>
        <v>0</v>
      </c>
      <c r="J459">
        <f>VLOOKUP(B459,'MASTER DATA SLT'!$C$4:$R$544,16,0)</f>
        <v>0</v>
      </c>
      <c r="K459">
        <f>VLOOKUP(B459,'MASTER DATA SLT'!$C$4:$S$544,17,0)</f>
        <v>0</v>
      </c>
      <c r="N459" t="str">
        <f>VLOOKUP(B459,'SALARY DETALES'!$B$2:$C$475,2,0)</f>
        <v>Tandoor</v>
      </c>
      <c r="O459" t="str">
        <f>VLOOKUP(B459,'SALARY DETALES'!$B$2:$D$475,3,0)</f>
        <v>CHAPATI</v>
      </c>
      <c r="Q459" t="str">
        <f>VLOOKUP(B459,'MASTER DATA SLT'!$C$4:$F$544,4,0)</f>
        <v>2021-12-30</v>
      </c>
      <c r="R459">
        <f>VLOOKUP(B459,'MASTER DATA SLT'!$C$4:$G$544,5,0)</f>
        <v>0</v>
      </c>
      <c r="U459">
        <f>VLOOKUP(B459,'SALARY DETALES'!$B$2:$S$475,18,0)</f>
        <v>38500</v>
      </c>
    </row>
    <row r="460" spans="1:21" x14ac:dyDescent="0.3">
      <c r="A460">
        <v>459</v>
      </c>
      <c r="B460">
        <v>1006</v>
      </c>
      <c r="C460" t="s">
        <v>2128</v>
      </c>
      <c r="D460" t="s">
        <v>1996</v>
      </c>
      <c r="E460" t="str">
        <f>VLOOKUP(B460,'MASTER DATA SLT'!$C$4:$H$544,6,0)</f>
        <v>BUS</v>
      </c>
      <c r="F460" t="str">
        <f>VLOOKUP(B460,'MASTER DATA SLT'!$C$4:$F$544,4,0)</f>
        <v>2021-12-23</v>
      </c>
      <c r="G460">
        <f>VLOOKUP(B460,'MASTER DATA SLT'!$C$4:$P$544,14,0)</f>
        <v>0</v>
      </c>
      <c r="I460">
        <f>VLOOKUP(B460,'MASTER DATA SLT'!$C$4:$Q$544,15,0)</f>
        <v>0</v>
      </c>
      <c r="J460">
        <f>VLOOKUP(B460,'MASTER DATA SLT'!$C$4:$R$544,16,0)</f>
        <v>0</v>
      </c>
      <c r="K460">
        <f>VLOOKUP(B460,'MASTER DATA SLT'!$C$4:$S$544,17,0)</f>
        <v>0</v>
      </c>
      <c r="N460" t="str">
        <f>VLOOKUP(B460,'SALARY DETALES'!$B$2:$C$475,2,0)</f>
        <v>Tandoor Pickup</v>
      </c>
      <c r="O460" t="str">
        <f>VLOOKUP(B460,'SALARY DETALES'!$B$2:$D$475,3,0)</f>
        <v>ORDER PICKUP</v>
      </c>
      <c r="Q460" t="str">
        <f>VLOOKUP(B460,'MASTER DATA SLT'!$C$4:$F$544,4,0)</f>
        <v>2021-12-23</v>
      </c>
      <c r="R460">
        <f>VLOOKUP(B460,'MASTER DATA SLT'!$C$4:$G$544,5,0)</f>
        <v>0</v>
      </c>
      <c r="U460">
        <f>VLOOKUP(B460,'SALARY DETALES'!$B$2:$S$475,18,0)</f>
        <v>27500</v>
      </c>
    </row>
    <row r="461" spans="1:21" x14ac:dyDescent="0.3">
      <c r="A461">
        <v>460</v>
      </c>
      <c r="B461">
        <v>1011</v>
      </c>
      <c r="C461" t="s">
        <v>487</v>
      </c>
      <c r="D461" t="s">
        <v>2137</v>
      </c>
      <c r="E461" t="str">
        <f>VLOOKUP(B461,'MASTER DATA SLT'!$C$4:$H$544,6,0)</f>
        <v>NO</v>
      </c>
      <c r="F461" t="str">
        <f>VLOOKUP(B461,'MASTER DATA SLT'!$C$4:$F$544,4,0)</f>
        <v>2021-12-20</v>
      </c>
      <c r="G461">
        <f>VLOOKUP(B461,'MASTER DATA SLT'!$C$4:$P$544,14,0)</f>
        <v>0</v>
      </c>
      <c r="I461">
        <f>VLOOKUP(B461,'MASTER DATA SLT'!$C$4:$Q$544,15,0)</f>
        <v>0</v>
      </c>
      <c r="J461">
        <f>VLOOKUP(B461,'MASTER DATA SLT'!$C$4:$R$544,16,0)</f>
        <v>0</v>
      </c>
      <c r="K461">
        <f>VLOOKUP(B461,'MASTER DATA SLT'!$C$4:$S$544,17,0)</f>
        <v>0</v>
      </c>
      <c r="N461" t="str">
        <f>VLOOKUP(B461,'SALARY DETALES'!$B$2:$C$475,2,0)</f>
        <v>Tandoor Pickup</v>
      </c>
      <c r="O461" t="str">
        <f>VLOOKUP(B461,'SALARY DETALES'!$B$2:$D$475,3,0)</f>
        <v>ORDER PICKUP</v>
      </c>
      <c r="Q461" t="str">
        <f>VLOOKUP(B461,'MASTER DATA SLT'!$C$4:$F$544,4,0)</f>
        <v>2021-12-20</v>
      </c>
      <c r="R461">
        <f>VLOOKUP(B461,'MASTER DATA SLT'!$C$4:$G$544,5,0)</f>
        <v>45</v>
      </c>
      <c r="U461">
        <f>VLOOKUP(B461,'SALARY DETALES'!$B$2:$S$475,18,0)</f>
        <v>21780</v>
      </c>
    </row>
    <row r="462" spans="1:21" x14ac:dyDescent="0.3">
      <c r="A462">
        <v>461</v>
      </c>
      <c r="B462">
        <v>1013</v>
      </c>
      <c r="C462" t="s">
        <v>1953</v>
      </c>
      <c r="D462" t="s">
        <v>2159</v>
      </c>
      <c r="E462" t="str">
        <f>VLOOKUP(B462,'MASTER DATA SLT'!$C$4:$H$544,6,0)</f>
        <v>NO</v>
      </c>
      <c r="F462" t="str">
        <f>VLOOKUP(B462,'MASTER DATA SLT'!$C$4:$F$544,4,0)</f>
        <v>2021-12-26</v>
      </c>
      <c r="G462" t="str">
        <f>VLOOKUP(B462,'MASTER DATA SLT'!$C$4:$P$544,14,0)</f>
        <v>42201-9998284</v>
      </c>
      <c r="I462">
        <f>VLOOKUP(B462,'MASTER DATA SLT'!$C$4:$Q$544,15,0)</f>
        <v>0</v>
      </c>
      <c r="J462">
        <f>VLOOKUP(B462,'MASTER DATA SLT'!$C$4:$R$544,16,0)</f>
        <v>0</v>
      </c>
      <c r="K462">
        <f>VLOOKUP(B462,'MASTER DATA SLT'!$C$4:$S$544,17,0)</f>
        <v>0</v>
      </c>
      <c r="N462" t="str">
        <f>VLOOKUP(B462,'SALARY DETALES'!$B$2:$C$475,2,0)</f>
        <v>Tandoor Pickup</v>
      </c>
      <c r="O462" t="str">
        <f>VLOOKUP(B462,'SALARY DETALES'!$B$2:$D$475,3,0)</f>
        <v>ORDER PICKUP</v>
      </c>
      <c r="Q462" t="str">
        <f>VLOOKUP(B462,'MASTER DATA SLT'!$C$4:$F$544,4,0)</f>
        <v>2021-12-26</v>
      </c>
      <c r="R462">
        <f>VLOOKUP(B462,'MASTER DATA SLT'!$C$4:$G$544,5,0)</f>
        <v>45</v>
      </c>
      <c r="U462">
        <f>VLOOKUP(B462,'SALARY DETALES'!$B$2:$S$475,18,0)</f>
        <v>36300</v>
      </c>
    </row>
    <row r="463" spans="1:21" x14ac:dyDescent="0.3">
      <c r="A463">
        <v>462</v>
      </c>
      <c r="B463">
        <v>22017</v>
      </c>
      <c r="C463" t="s">
        <v>1839</v>
      </c>
      <c r="D463" t="s">
        <v>1974</v>
      </c>
      <c r="E463" t="str">
        <f>VLOOKUP(B463,'MASTER DATA SLT'!$C$4:$H$544,6,0)</f>
        <v>NO</v>
      </c>
      <c r="F463" t="str">
        <f>VLOOKUP(B463,'MASTER DATA SLT'!$C$4:$F$544,4,0)</f>
        <v>2021-12-28</v>
      </c>
      <c r="G463" t="str">
        <f>VLOOKUP(B463,'MASTER DATA SLT'!$C$4:$P$544,14,0)</f>
        <v>42201-4996525</v>
      </c>
      <c r="I463">
        <f>VLOOKUP(B463,'MASTER DATA SLT'!$C$4:$Q$544,15,0)</f>
        <v>0</v>
      </c>
      <c r="J463">
        <f>VLOOKUP(B463,'MASTER DATA SLT'!$C$4:$R$544,16,0)</f>
        <v>0</v>
      </c>
      <c r="K463">
        <f>VLOOKUP(B463,'MASTER DATA SLT'!$C$4:$S$544,17,0)</f>
        <v>0</v>
      </c>
      <c r="N463" t="str">
        <f>VLOOKUP(B463,'SALARY DETALES'!$B$2:$C$475,2,0)</f>
        <v>Tandoor Pickup</v>
      </c>
      <c r="O463" t="str">
        <f>VLOOKUP(B463,'SALARY DETALES'!$B$2:$D$475,3,0)</f>
        <v>Tandoor Pickup</v>
      </c>
      <c r="Q463" t="str">
        <f>VLOOKUP(B463,'MASTER DATA SLT'!$C$4:$F$544,4,0)</f>
        <v>2021-12-28</v>
      </c>
      <c r="R463">
        <f>VLOOKUP(B463,'MASTER DATA SLT'!$C$4:$G$544,5,0)</f>
        <v>45</v>
      </c>
      <c r="U463">
        <f>VLOOKUP(B463,'SALARY DETALES'!$B$2:$S$475,18,0)</f>
        <v>23000</v>
      </c>
    </row>
    <row r="464" spans="1:21" x14ac:dyDescent="0.3">
      <c r="A464">
        <v>463</v>
      </c>
      <c r="B464">
        <v>26008</v>
      </c>
      <c r="C464" t="s">
        <v>1875</v>
      </c>
      <c r="D464" t="s">
        <v>2169</v>
      </c>
      <c r="E464" t="str">
        <f>VLOOKUP(B464,'MASTER DATA SLT'!$C$4:$H$544,6,0)</f>
        <v>NO</v>
      </c>
      <c r="F464" t="str">
        <f>VLOOKUP(B464,'MASTER DATA SLT'!$C$4:$F$544,4,0)</f>
        <v>2021-12-26</v>
      </c>
      <c r="G464" t="str">
        <f>VLOOKUP(B464,'MASTER DATA SLT'!$C$4:$P$544,14,0)</f>
        <v>42201-2035190</v>
      </c>
      <c r="I464">
        <f>VLOOKUP(B464,'MASTER DATA SLT'!$C$4:$Q$544,15,0)</f>
        <v>0</v>
      </c>
      <c r="J464">
        <f>VLOOKUP(B464,'MASTER DATA SLT'!$C$4:$R$544,16,0)</f>
        <v>0</v>
      </c>
      <c r="K464">
        <f>VLOOKUP(B464,'MASTER DATA SLT'!$C$4:$S$544,17,0)</f>
        <v>0</v>
      </c>
      <c r="N464" t="str">
        <f>VLOOKUP(B464,'SALARY DETALES'!$B$2:$C$475,2,0)</f>
        <v>Tandoor Pickup</v>
      </c>
      <c r="O464" t="str">
        <f>VLOOKUP(B464,'SALARY DETALES'!$B$2:$D$475,3,0)</f>
        <v>Tandoor Pickup</v>
      </c>
      <c r="Q464" t="str">
        <f>VLOOKUP(B464,'MASTER DATA SLT'!$C$4:$F$544,4,0)</f>
        <v>2021-12-26</v>
      </c>
      <c r="R464">
        <f>VLOOKUP(B464,'MASTER DATA SLT'!$C$4:$G$544,5,0)</f>
        <v>60</v>
      </c>
      <c r="U464">
        <f>VLOOKUP(B464,'SALARY DETALES'!$B$2:$S$475,18,0)</f>
        <v>27500</v>
      </c>
    </row>
    <row r="465" spans="1:21" x14ac:dyDescent="0.3">
      <c r="A465">
        <v>464</v>
      </c>
      <c r="B465">
        <v>1017</v>
      </c>
      <c r="C465" t="s">
        <v>182</v>
      </c>
      <c r="D465" t="s">
        <v>1869</v>
      </c>
      <c r="E465" t="str">
        <f>VLOOKUP(B465,'MASTER DATA SLT'!$C$4:$H$544,6,0)</f>
        <v>NO</v>
      </c>
      <c r="F465" t="str">
        <f>VLOOKUP(B465,'MASTER DATA SLT'!$C$4:$F$544,4,0)</f>
        <v>2021-12-21</v>
      </c>
      <c r="G465">
        <f>VLOOKUP(B465,'MASTER DATA SLT'!$C$4:$P$544,14,0)</f>
        <v>0</v>
      </c>
      <c r="I465">
        <f>VLOOKUP(B465,'MASTER DATA SLT'!$C$4:$Q$544,15,0)</f>
        <v>0</v>
      </c>
      <c r="J465">
        <f>VLOOKUP(B465,'MASTER DATA SLT'!$C$4:$R$544,16,0)</f>
        <v>0</v>
      </c>
      <c r="K465">
        <f>VLOOKUP(B465,'MASTER DATA SLT'!$C$4:$S$544,17,0)</f>
        <v>0</v>
      </c>
      <c r="N465" t="str">
        <f>VLOOKUP(B465,'SALARY DETALES'!$B$2:$C$475,2,0)</f>
        <v>Tandoor Pickup</v>
      </c>
      <c r="O465" t="str">
        <f>VLOOKUP(B465,'SALARY DETALES'!$B$2:$D$475,3,0)</f>
        <v>ORDER PICKUP</v>
      </c>
      <c r="Q465" t="str">
        <f>VLOOKUP(B465,'MASTER DATA SLT'!$C$4:$F$544,4,0)</f>
        <v>2021-12-21</v>
      </c>
      <c r="R465">
        <f>VLOOKUP(B465,'MASTER DATA SLT'!$C$4:$G$544,5,0)</f>
        <v>45</v>
      </c>
      <c r="U465">
        <f>VLOOKUP(B465,'SALARY DETALES'!$B$2:$S$475,18,0)</f>
        <v>35000</v>
      </c>
    </row>
    <row r="466" spans="1:21" x14ac:dyDescent="0.3">
      <c r="A466">
        <v>465</v>
      </c>
      <c r="B466">
        <v>22102</v>
      </c>
      <c r="C466" t="s">
        <v>1918</v>
      </c>
      <c r="D466" t="s">
        <v>1874</v>
      </c>
      <c r="E466" t="str">
        <f>VLOOKUP(B466,'MASTER DATA SLT'!$C$4:$H$544,6,0)</f>
        <v>BUS</v>
      </c>
      <c r="F466" t="str">
        <f>VLOOKUP(B466,'MASTER DATA SLT'!$C$4:$F$544,4,0)</f>
        <v>2021-12-01</v>
      </c>
      <c r="G466">
        <f>VLOOKUP(B466,'MASTER DATA SLT'!$C$4:$P$544,14,0)</f>
        <v>0</v>
      </c>
      <c r="I466">
        <f>VLOOKUP(B466,'MASTER DATA SLT'!$C$4:$Q$544,15,0)</f>
        <v>0</v>
      </c>
      <c r="J466">
        <f>VLOOKUP(B466,'MASTER DATA SLT'!$C$4:$R$544,16,0)</f>
        <v>0</v>
      </c>
      <c r="K466">
        <f>VLOOKUP(B466,'MASTER DATA SLT'!$C$4:$S$544,17,0)</f>
        <v>0</v>
      </c>
      <c r="N466" t="str">
        <f>VLOOKUP(B466,'SALARY DETALES'!$B$2:$C$475,2,0)</f>
        <v>Tandoor Pickup</v>
      </c>
      <c r="O466" t="str">
        <f>VLOOKUP(B466,'SALARY DETALES'!$B$2:$D$475,3,0)</f>
        <v>ORDER PICKUP</v>
      </c>
      <c r="Q466" t="str">
        <f>VLOOKUP(B466,'MASTER DATA SLT'!$C$4:$F$544,4,0)</f>
        <v>2021-12-01</v>
      </c>
      <c r="R466">
        <f>VLOOKUP(B466,'MASTER DATA SLT'!$C$4:$G$544,5,0)</f>
        <v>0</v>
      </c>
      <c r="U466">
        <f>VLOOKUP(B466,'SALARY DETALES'!$B$2:$S$475,18,0)</f>
        <v>24200</v>
      </c>
    </row>
    <row r="467" spans="1:21" x14ac:dyDescent="0.3">
      <c r="A467">
        <v>466</v>
      </c>
      <c r="B467">
        <v>22148</v>
      </c>
      <c r="C467" t="s">
        <v>2074</v>
      </c>
      <c r="D467" t="s">
        <v>1869</v>
      </c>
      <c r="E467" t="str">
        <f>VLOOKUP(B467,'MASTER DATA SLT'!$C$4:$H$544,6,0)</f>
        <v>NO</v>
      </c>
      <c r="F467" t="str">
        <f>VLOOKUP(B467,'MASTER DATA SLT'!$C$4:$F$544,4,0)</f>
        <v>2022-06-01</v>
      </c>
      <c r="G467">
        <f>VLOOKUP(B467,'MASTER DATA SLT'!$C$4:$P$544,14,0)</f>
        <v>0</v>
      </c>
      <c r="I467">
        <f>VLOOKUP(B467,'MASTER DATA SLT'!$C$4:$Q$544,15,0)</f>
        <v>0</v>
      </c>
      <c r="J467">
        <f>VLOOKUP(B467,'MASTER DATA SLT'!$C$4:$R$544,16,0)</f>
        <v>0</v>
      </c>
      <c r="K467">
        <f>VLOOKUP(B467,'MASTER DATA SLT'!$C$4:$S$544,17,0)</f>
        <v>0</v>
      </c>
      <c r="N467" t="str">
        <f>VLOOKUP(B467,'SALARY DETALES'!$B$2:$C$475,2,0)</f>
        <v>Tandoor Pickup</v>
      </c>
      <c r="O467" t="str">
        <f>VLOOKUP(B467,'SALARY DETALES'!$B$2:$D$475,3,0)</f>
        <v>Tandoor Pickup</v>
      </c>
      <c r="Q467" t="str">
        <f>VLOOKUP(B467,'MASTER DATA SLT'!$C$4:$F$544,4,0)</f>
        <v>2022-06-01</v>
      </c>
      <c r="R467">
        <f>VLOOKUP(B467,'MASTER DATA SLT'!$C$4:$G$544,5,0)</f>
        <v>45</v>
      </c>
      <c r="U467">
        <f>VLOOKUP(B467,'SALARY DETALES'!$B$2:$S$475,18,0)</f>
        <v>17600</v>
      </c>
    </row>
    <row r="468" spans="1:21" x14ac:dyDescent="0.3">
      <c r="A468">
        <v>467</v>
      </c>
      <c r="B468">
        <v>22177</v>
      </c>
      <c r="C468" t="s">
        <v>1891</v>
      </c>
      <c r="D468" t="s">
        <v>1937</v>
      </c>
      <c r="E468" t="str">
        <f>VLOOKUP(B468,'MASTER DATA SLT'!$C$4:$H$544,6,0)</f>
        <v>NO</v>
      </c>
      <c r="F468" t="str">
        <f>VLOOKUP(B468,'MASTER DATA SLT'!$C$4:$F$544,4,0)</f>
        <v>2022-10-28</v>
      </c>
      <c r="G468" t="str">
        <f>VLOOKUP(B468,'MASTER DATA SLT'!$C$4:$P$544,14,0)</f>
        <v>53402-7390489</v>
      </c>
      <c r="I468">
        <f>VLOOKUP(B468,'MASTER DATA SLT'!$C$4:$Q$544,15,0)</f>
        <v>0</v>
      </c>
      <c r="J468">
        <f>VLOOKUP(B468,'MASTER DATA SLT'!$C$4:$R$544,16,0)</f>
        <v>0</v>
      </c>
      <c r="K468">
        <f>VLOOKUP(B468,'MASTER DATA SLT'!$C$4:$S$544,17,0)</f>
        <v>0</v>
      </c>
      <c r="N468" t="str">
        <f>VLOOKUP(B468,'SALARY DETALES'!$B$2:$C$475,2,0)</f>
        <v>Tandoor Pickup</v>
      </c>
      <c r="O468" t="str">
        <f>VLOOKUP(B468,'SALARY DETALES'!$B$2:$D$475,3,0)</f>
        <v>TAKE AWAY ORDER PICKUP</v>
      </c>
      <c r="Q468" t="str">
        <f>VLOOKUP(B468,'MASTER DATA SLT'!$C$4:$F$544,4,0)</f>
        <v>2022-10-28</v>
      </c>
      <c r="R468">
        <f>VLOOKUP(B468,'MASTER DATA SLT'!$C$4:$G$544,5,0)</f>
        <v>45</v>
      </c>
      <c r="U468">
        <f>VLOOKUP(B468,'SALARY DETALES'!$B$2:$S$475,18,0)</f>
        <v>19800</v>
      </c>
    </row>
    <row r="469" spans="1:21" x14ac:dyDescent="0.3">
      <c r="A469">
        <v>468</v>
      </c>
      <c r="B469">
        <v>1024</v>
      </c>
      <c r="C469" t="s">
        <v>1869</v>
      </c>
      <c r="D469" t="s">
        <v>1996</v>
      </c>
      <c r="E469" t="str">
        <f>VLOOKUP(B469,'MASTER DATA SLT'!$C$4:$H$544,6,0)</f>
        <v>NO</v>
      </c>
      <c r="F469" t="str">
        <f>VLOOKUP(B469,'MASTER DATA SLT'!$C$4:$F$544,4,0)</f>
        <v>2021-12-26</v>
      </c>
      <c r="G469">
        <f>VLOOKUP(B469,'MASTER DATA SLT'!$C$4:$P$544,14,0)</f>
        <v>0</v>
      </c>
      <c r="I469">
        <f>VLOOKUP(B469,'MASTER DATA SLT'!$C$4:$Q$544,15,0)</f>
        <v>0</v>
      </c>
      <c r="J469">
        <f>VLOOKUP(B469,'MASTER DATA SLT'!$C$4:$R$544,16,0)</f>
        <v>0</v>
      </c>
      <c r="K469">
        <f>VLOOKUP(B469,'MASTER DATA SLT'!$C$4:$S$544,17,0)</f>
        <v>0</v>
      </c>
      <c r="N469" t="str">
        <f>VLOOKUP(B469,'SALARY DETALES'!$B$2:$C$475,2,0)</f>
        <v>Tandoor Pickup</v>
      </c>
      <c r="O469" t="str">
        <f>VLOOKUP(B469,'SALARY DETALES'!$B$2:$D$475,3,0)</f>
        <v>ORDER PICKUP</v>
      </c>
      <c r="Q469" t="str">
        <f>VLOOKUP(B469,'MASTER DATA SLT'!$C$4:$F$544,4,0)</f>
        <v>2021-12-26</v>
      </c>
      <c r="R469">
        <f>VLOOKUP(B469,'MASTER DATA SLT'!$C$4:$G$544,5,0)</f>
        <v>45</v>
      </c>
      <c r="U469">
        <f>VLOOKUP(B469,'SALARY DETALES'!$B$2:$S$475,18,0)</f>
        <v>33000</v>
      </c>
    </row>
    <row r="470" spans="1:21" x14ac:dyDescent="0.3">
      <c r="A470">
        <v>469</v>
      </c>
      <c r="B470">
        <v>1028</v>
      </c>
      <c r="C470" t="s">
        <v>1997</v>
      </c>
      <c r="D470" t="s">
        <v>1996</v>
      </c>
      <c r="E470" t="str">
        <f>VLOOKUP(B470,'MASTER DATA SLT'!$C$4:$H$544,6,0)</f>
        <v>NO</v>
      </c>
      <c r="F470" t="str">
        <f>VLOOKUP(B470,'MASTER DATA SLT'!$C$4:$F$544,4,0)</f>
        <v>2023-09-04</v>
      </c>
      <c r="G470" t="str">
        <f>VLOOKUP(B470,'MASTER DATA SLT'!$C$4:$P$544,14,0)</f>
        <v>42601-0345890</v>
      </c>
      <c r="I470">
        <f>VLOOKUP(B470,'MASTER DATA SLT'!$C$4:$Q$544,15,0)</f>
        <v>0</v>
      </c>
      <c r="J470">
        <f>VLOOKUP(B470,'MASTER DATA SLT'!$C$4:$R$544,16,0)</f>
        <v>0</v>
      </c>
      <c r="K470">
        <f>VLOOKUP(B470,'MASTER DATA SLT'!$C$4:$S$544,17,0)</f>
        <v>0</v>
      </c>
      <c r="N470" t="str">
        <f>VLOOKUP(B470,'SALARY DETALES'!$B$2:$C$475,2,0)</f>
        <v>Tandoor Pickup</v>
      </c>
      <c r="O470" t="str">
        <f>VLOOKUP(B470,'SALARY DETALES'!$B$2:$D$475,3,0)</f>
        <v>ORDER PICKUP</v>
      </c>
      <c r="Q470" t="str">
        <f>VLOOKUP(B470,'MASTER DATA SLT'!$C$4:$F$544,4,0)</f>
        <v>2023-09-04</v>
      </c>
      <c r="R470">
        <f>VLOOKUP(B470,'MASTER DATA SLT'!$C$4:$G$544,5,0)</f>
        <v>45</v>
      </c>
      <c r="U470">
        <f>VLOOKUP(B470,'SALARY DETALES'!$B$2:$S$475,18,0)</f>
        <v>27500</v>
      </c>
    </row>
    <row r="471" spans="1:21" x14ac:dyDescent="0.3">
      <c r="A471">
        <v>470</v>
      </c>
      <c r="B471">
        <v>26047</v>
      </c>
      <c r="C471" t="s">
        <v>440</v>
      </c>
      <c r="D471" t="s">
        <v>2137</v>
      </c>
      <c r="E471" t="str">
        <f>VLOOKUP(B471,'MASTER DATA SLT'!$C$4:$H$544,6,0)</f>
        <v>BUS</v>
      </c>
      <c r="F471" t="str">
        <f>VLOOKUP(B471,'MASTER DATA SLT'!$C$4:$F$544,4,0)</f>
        <v>2023-06-08</v>
      </c>
      <c r="G471">
        <f>VLOOKUP(B471,'MASTER DATA SLT'!$C$4:$P$544,14,0)</f>
        <v>0</v>
      </c>
      <c r="I471">
        <f>VLOOKUP(B471,'MASTER DATA SLT'!$C$4:$Q$544,15,0)</f>
        <v>0</v>
      </c>
      <c r="J471">
        <f>VLOOKUP(B471,'MASTER DATA SLT'!$C$4:$R$544,16,0)</f>
        <v>0</v>
      </c>
      <c r="K471">
        <f>VLOOKUP(B471,'MASTER DATA SLT'!$C$4:$S$544,17,0)</f>
        <v>0</v>
      </c>
      <c r="N471" t="str">
        <f>VLOOKUP(B471,'SALARY DETALES'!$B$2:$C$475,2,0)</f>
        <v>Tandoor Pickup</v>
      </c>
      <c r="O471" t="str">
        <f>VLOOKUP(B471,'SALARY DETALES'!$B$2:$D$475,3,0)</f>
        <v>Poori Pickup</v>
      </c>
      <c r="Q471" t="str">
        <f>VLOOKUP(B471,'MASTER DATA SLT'!$C$4:$F$544,4,0)</f>
        <v>2023-06-08</v>
      </c>
      <c r="R471">
        <f>VLOOKUP(B471,'MASTER DATA SLT'!$C$4:$G$544,5,0)</f>
        <v>0</v>
      </c>
      <c r="U471">
        <f>VLOOKUP(B471,'SALARY DETALES'!$B$2:$S$475,18,0)</f>
        <v>16000</v>
      </c>
    </row>
    <row r="472" spans="1:21" x14ac:dyDescent="0.3">
      <c r="A472">
        <v>471</v>
      </c>
      <c r="B472">
        <v>1029</v>
      </c>
      <c r="C472" t="s">
        <v>1845</v>
      </c>
      <c r="D472" t="s">
        <v>97</v>
      </c>
      <c r="E472" t="str">
        <f>VLOOKUP(B472,'MASTER DATA SLT'!$C$4:$H$544,6,0)</f>
        <v>NO</v>
      </c>
      <c r="F472" t="str">
        <f>VLOOKUP(B472,'MASTER DATA SLT'!$C$4:$F$544,4,0)</f>
        <v>2023-08-17</v>
      </c>
      <c r="G472">
        <f>VLOOKUP(B472,'MASTER DATA SLT'!$C$4:$P$544,14,0)</f>
        <v>0</v>
      </c>
      <c r="I472">
        <f>VLOOKUP(B472,'MASTER DATA SLT'!$C$4:$Q$544,15,0)</f>
        <v>0</v>
      </c>
      <c r="J472">
        <f>VLOOKUP(B472,'MASTER DATA SLT'!$C$4:$R$544,16,0)</f>
        <v>0</v>
      </c>
      <c r="K472">
        <f>VLOOKUP(B472,'MASTER DATA SLT'!$C$4:$S$544,17,0)</f>
        <v>0</v>
      </c>
      <c r="N472" t="str">
        <f>VLOOKUP(B472,'SALARY DETALES'!$B$2:$C$475,2,0)</f>
        <v>Tandoor Pickup</v>
      </c>
      <c r="O472" t="str">
        <f>VLOOKUP(B472,'SALARY DETALES'!$B$2:$D$475,3,0)</f>
        <v>ORDER ENTRY</v>
      </c>
      <c r="Q472" t="str">
        <f>VLOOKUP(B472,'MASTER DATA SLT'!$C$4:$F$544,4,0)</f>
        <v>2023-08-17</v>
      </c>
      <c r="R472">
        <f>VLOOKUP(B472,'MASTER DATA SLT'!$C$4:$G$544,5,0)</f>
        <v>45</v>
      </c>
      <c r="U472">
        <f>VLOOKUP(B472,'SALARY DETALES'!$B$2:$S$475,18,0)</f>
        <v>24200</v>
      </c>
    </row>
    <row r="473" spans="1:21" x14ac:dyDescent="0.3">
      <c r="A473">
        <v>472</v>
      </c>
      <c r="B473">
        <v>80351</v>
      </c>
      <c r="C473" t="s">
        <v>1857</v>
      </c>
      <c r="D473" t="s">
        <v>2129</v>
      </c>
      <c r="E473" t="str">
        <f>VLOOKUP(B473,'MASTER DATA SLT'!$C$4:$H$544,6,0)</f>
        <v>BUS</v>
      </c>
      <c r="F473" t="str">
        <f>VLOOKUP(B473,'MASTER DATA SLT'!$C$4:$F$544,4,0)</f>
        <v>2024-08-18</v>
      </c>
      <c r="G473" t="str">
        <f>VLOOKUP(B473,'MASTER DATA SLT'!$C$4:$P$544,14,0)</f>
        <v>31302-898914-</v>
      </c>
      <c r="I473" t="str">
        <f>VLOOKUP(B473,'MASTER DATA SLT'!$C$4:$Q$544,15,0)</f>
        <v>0300-2079176</v>
      </c>
      <c r="J473">
        <f>VLOOKUP(B473,'MASTER DATA SLT'!$C$4:$R$544,16,0)</f>
        <v>0</v>
      </c>
      <c r="K473">
        <f>VLOOKUP(B473,'MASTER DATA SLT'!$C$4:$S$544,17,0)</f>
        <v>0</v>
      </c>
      <c r="N473" t="str">
        <f>VLOOKUP(B473,'SALARY DETALES'!$B$2:$C$475,2,0)</f>
        <v>TEA</v>
      </c>
      <c r="O473" t="str">
        <f>VLOOKUP(B473,'SALARY DETALES'!$B$2:$D$475,3,0)</f>
        <v>Tea Maker</v>
      </c>
      <c r="Q473" t="str">
        <f>VLOOKUP(B473,'MASTER DATA SLT'!$C$4:$F$544,4,0)</f>
        <v>2024-08-18</v>
      </c>
      <c r="R473">
        <f>VLOOKUP(B473,'MASTER DATA SLT'!$C$4:$G$544,5,0)</f>
        <v>0</v>
      </c>
      <c r="U473">
        <f>VLOOKUP(B473,'SALARY DETALES'!$B$2:$S$475,18,0)</f>
        <v>27500</v>
      </c>
    </row>
    <row r="474" spans="1:21" x14ac:dyDescent="0.3">
      <c r="A474">
        <v>473</v>
      </c>
      <c r="B474">
        <v>80726</v>
      </c>
      <c r="C474" t="s">
        <v>2130</v>
      </c>
      <c r="D474" t="s">
        <v>1863</v>
      </c>
      <c r="E474" t="str">
        <f>VLOOKUP(B474,'MASTER DATA SLT'!$C$4:$H$544,6,0)</f>
        <v>BUS</v>
      </c>
      <c r="F474" t="str">
        <f>VLOOKUP(B474,'MASTER DATA SLT'!$C$4:$F$544,4,0)</f>
        <v>2025-03-21</v>
      </c>
      <c r="G474">
        <f>VLOOKUP(B474,'MASTER DATA SLT'!$C$4:$P$544,14,0)</f>
        <v>0</v>
      </c>
      <c r="I474">
        <f>VLOOKUP(B474,'MASTER DATA SLT'!$C$4:$Q$544,15,0)</f>
        <v>0</v>
      </c>
      <c r="J474">
        <f>VLOOKUP(B474,'MASTER DATA SLT'!$C$4:$R$544,16,0)</f>
        <v>0</v>
      </c>
      <c r="K474">
        <f>VLOOKUP(B474,'MASTER DATA SLT'!$C$4:$S$544,17,0)</f>
        <v>0</v>
      </c>
      <c r="N474" t="str">
        <f>VLOOKUP(B474,'SALARY DETALES'!$B$2:$C$475,2,0)</f>
        <v>TEA</v>
      </c>
      <c r="O474" t="str">
        <f>VLOOKUP(B474,'SALARY DETALES'!$B$2:$D$475,3,0)</f>
        <v>HELPER</v>
      </c>
      <c r="Q474" t="str">
        <f>VLOOKUP(B474,'MASTER DATA SLT'!$C$4:$F$544,4,0)</f>
        <v>2025-03-21</v>
      </c>
      <c r="R474">
        <f>VLOOKUP(B474,'MASTER DATA SLT'!$C$4:$G$544,5,0)</f>
        <v>0</v>
      </c>
      <c r="U474">
        <f>VLOOKUP(B474,'SALARY DETALES'!$B$2:$S$475,18,0)</f>
        <v>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 DATA SLT</vt:lpstr>
      <vt:lpstr>SALARY DETALES</vt:lpstr>
      <vt:lpstr>SOFTWERE 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AYAZ HR</dc:creator>
  <cp:lastModifiedBy>AYAZ HR</cp:lastModifiedBy>
  <dcterms:created xsi:type="dcterms:W3CDTF">2015-06-05T18:17:20Z</dcterms:created>
  <dcterms:modified xsi:type="dcterms:W3CDTF">2025-05-26T16:29:25Z</dcterms:modified>
</cp:coreProperties>
</file>